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sheetId="5" r:id="rId5"/>
  </sheets>
  <definedNames>
    <definedName name="_xlnm.Print_Area" localSheetId="1">'Traitement'!$B$1:$I$44</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<sst xmlns="http://schemas.openxmlformats.org/spreadsheetml/2006/main" count="154" uniqueCount="132">
  <si>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</si>
  <si>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</si>
  <si>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</si>
  <si>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</si>
  <si>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</si>
  <si>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</si>
  <si>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</si>
  <si>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</si>
  <si>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</si>
  <si>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</si>
  <si>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</si>
  <si>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</si>
  <si>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</si>
  <si>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</si>
  <si>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</si>
  <si>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Pension civile NBI (7,85% du traitement brut)</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</si>
  <si>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</si>
  <si>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</si>
  <si>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</si>
  <si>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</si>
  <si>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</si>
  <si>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</si>
  <si>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</si>
  <si>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</si>
  <si>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</si>
  <si>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</si>
  <si>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</si>
  <si>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</si>
  <si>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</si>
  <si>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</si>
  <si>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</si>
  <si>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</si>
  <si>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</si>
  <si>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valeur point indiciaire au</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</si>
  <si>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</si>
  <si>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</si>
  <si>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</si>
  <si>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</si>
  <si>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</si>
  <si>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</si>
  <si>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</si>
  <si>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</si>
  <si>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</si>
  <si>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</si>
  <si>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</si>
  <si>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</si>
  <si>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</si>
  <si>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</si>
  <si>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</si>
  <si>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</si>
  <si>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</si>
  <si>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</si>
  <si>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</si>
  <si>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</si>
  <si>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</si>
  <si>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</si>
  <si>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NOM                      Prénom</t>
  </si>
  <si>
    <t>en Euros (€) par mois</t>
  </si>
  <si>
    <t>Echelon</t>
  </si>
  <si>
    <t>Indice</t>
  </si>
  <si>
    <t>Instituteurs</t>
  </si>
  <si>
    <t>PE</t>
  </si>
  <si>
    <t>PE Hors-Classe</t>
  </si>
  <si>
    <t>Indices</t>
  </si>
  <si>
    <t>Indemnités</t>
  </si>
  <si>
    <t>Montant : cliquer ici</t>
  </si>
  <si>
    <t>Prestations familiales</t>
  </si>
  <si>
    <t>RETOUR</t>
  </si>
  <si>
    <t>Temps partiel (expl : 50 pour un mi-temps et 75 pour 75%)</t>
  </si>
  <si>
    <t>N.B. : les taux des prestations sociales sont sur la feuille de calcul suivante (cliquer sur l'onglet "taux prestations sociales")</t>
  </si>
  <si>
    <t>Cotisations supplémentaires pour conjoint et enfants bénéficiaires</t>
  </si>
  <si>
    <t>Régulation cotisations AC AA (7,85% du rappel rémunération + MGEN le cas échéant)</t>
  </si>
  <si>
    <t>CSG déductible (5,1% de 97% de l'ensemble des revenus (hors ISSR mais dont IRL))</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</si>
  <si>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</si>
  <si>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</si>
  <si>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</si>
  <si>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</si>
  <si>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</si>
  <si>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</si>
  <si>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</si>
  <si>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</si>
  <si>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</si>
  <si>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</si>
  <si>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</si>
  <si>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En cas de grève, indiquez le montant de retenue indiqué sur votre bulletin de paie (1/30 traitement brut + indemnité résidence du mois concerné)</t>
  </si>
  <si>
    <t>Indice précédent :</t>
  </si>
  <si>
    <t>Traitement brut annuel (base indice actuel)</t>
  </si>
  <si>
    <t>O</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</si>
  <si>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</si>
  <si>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</si>
  <si>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</si>
  <si>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</si>
  <si>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CSG non déductible (2,4% de </t>
    </r>
    <r>
      <rPr>
        <sz val="10"/>
        <color indexed="10"/>
        <rFont val="Arial"/>
        <family val="2"/>
      </rPr>
      <t>97</t>
    </r>
    <r>
      <rPr>
        <sz val="10"/>
        <rFont val="Arial"/>
        <family val="2"/>
      </rPr>
      <t xml:space="preserve">% de l'ensemble des revenus (hors ISSR mais dont IRL)+ 7,5% de </t>
    </r>
    <r>
      <rPr>
        <sz val="10"/>
        <color indexed="10"/>
        <rFont val="Arial"/>
        <family val="2"/>
      </rPr>
      <t>97</t>
    </r>
    <r>
      <rPr>
        <sz val="10"/>
        <rFont val="Arial"/>
        <family val="2"/>
      </rPr>
      <t>% de l'ISSR)</t>
    </r>
  </si>
  <si>
    <r>
      <t xml:space="preserve">RDS (0,5% de </t>
    </r>
    <r>
      <rPr>
        <sz val="10"/>
        <color indexed="10"/>
        <rFont val="Arial"/>
        <family val="2"/>
      </rPr>
      <t>97</t>
    </r>
    <r>
      <rPr>
        <sz val="10"/>
        <rFont val="Arial"/>
        <family val="2"/>
      </rPr>
      <t>% de l'ensemble des revenus (dont IRL)</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</si>
  <si>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</si>
  <si>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</si>
  <si>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</si>
  <si>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</si>
  <si>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</si>
  <si>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</si>
  <si>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</si>
  <si>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</si>
  <si>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</si>
  <si>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</si>
  <si>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</si>
  <si>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</si>
  <si>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</si>
  <si>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r>
      <t xml:space="preserve">Pension civile (7,85% du traitement brut) </t>
    </r>
    <r>
      <rPr>
        <i/>
        <sz val="10"/>
        <rFont val="Arial"/>
        <family val="2"/>
      </rPr>
      <t>hors majoration éventuelle</t>
    </r>
  </si>
  <si>
    <t>Renseigner uniquement les cases jaunes</t>
  </si>
  <si>
    <r>
      <t>Indice actuel</t>
    </r>
    <r>
      <rPr>
        <u val="single"/>
        <sz val="10"/>
        <rFont val="Arial"/>
        <family val="2"/>
      </rPr>
      <t xml:space="preserve"> (sans NBI, ni bonifications indiciaires</t>
    </r>
    <r>
      <rPr>
        <sz val="10"/>
        <rFont val="Arial"/>
        <family val="2"/>
      </rPr>
      <t>)</t>
    </r>
  </si>
  <si>
    <t>Majoration éventuelle de traitement (DOM)</t>
  </si>
  <si>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</si>
  <si>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</si>
  <si>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En cas de changement d'échelon en cours de mois, indiquez quel jour (cf. date de promotion)</t>
  </si>
  <si>
    <t>membre participant</t>
  </si>
  <si>
    <t>membre bénéficiaire</t>
  </si>
  <si>
    <t>cotisation plancher</t>
  </si>
  <si>
    <t>cotisation plafond</t>
  </si>
  <si>
    <r>
      <t xml:space="preserve">MGEN (2,8% de (traitement brut + indemnités sauf IRL et indemnités d'enseignement)) </t>
    </r>
    <r>
      <rPr>
        <i/>
        <sz val="10"/>
        <rFont val="Arial"/>
        <family val="2"/>
      </rPr>
      <t>+ cotis enfants et/ou conjoint éventuellement</t>
    </r>
  </si>
  <si>
    <t>Enfant de moins de 18 ans</t>
  </si>
  <si>
    <t>Enfant de plus de 18 ans</t>
  </si>
  <si>
    <r>
      <t xml:space="preserve">Taux MGEN  
</t>
    </r>
    <r>
      <rPr>
        <sz val="9"/>
        <rFont val="Geneva"/>
        <family val="0"/>
      </rPr>
      <t xml:space="preserve">(traitement brut + indemnité de résidence + primes et indemnités
</t>
    </r>
    <r>
      <rPr>
        <u val="single"/>
        <sz val="9"/>
        <rFont val="Geneva"/>
        <family val="0"/>
      </rPr>
      <t>sauf</t>
    </r>
    <r>
      <rPr>
        <sz val="9"/>
        <rFont val="Geneva"/>
        <family val="0"/>
      </rPr>
      <t xml:space="preserve"> IRL et indemnités enseignement)</t>
    </r>
    <r>
      <rPr>
        <b/>
        <sz val="12"/>
        <rFont val="Geneva"/>
        <family val="0"/>
      </rPr>
      <t xml:space="preserve"> </t>
    </r>
  </si>
  <si>
    <t>(2,24% pour les moins de 30 ans, soit 80%)</t>
  </si>
  <si>
    <r>
      <t xml:space="preserve">pour info retraités </t>
    </r>
    <r>
      <rPr>
        <b/>
        <i/>
        <sz val="10"/>
        <rFont val="Geneva"/>
        <family val="0"/>
      </rPr>
      <t>3,35%</t>
    </r>
  </si>
  <si>
    <t>Enfant de moins
de 18 ans</t>
  </si>
  <si>
    <t>Enfant de plus
de 18 ans</t>
  </si>
  <si>
    <t>Nbre d'enfants de moins de 18 ans (prise en charge MGEN) :</t>
  </si>
  <si>
    <t>Nbre d'enfants de plus de 18 ans (prise en charge MGEN) :</t>
  </si>
  <si>
    <t>Conjoint (65% cotisation membre participant)</t>
  </si>
  <si>
    <t>SNUipp/FSU Calcul traitement</t>
  </si>
  <si>
    <t>Valeur brute indice annuel au</t>
  </si>
  <si>
    <t>valeur brute indice mensuel</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</si>
</sst>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 numFmtId="206" formatCode="&quot;au &quot;dd/mm/yyyy"/>
    <numFmt numFmtId="207" formatCode="&quot;mise à jour &quot;dd/mm/yyyy"/>
  </numFmts>
  <fonts count="61">
    <font>
      <sz val="10"/>
      <name val="Geneva"/>
      <family val="0"/>
    </font>
    <font>
      <b/>
      <sz val="10"/>
      <name val="Geneva"/>
      <family val="0"/>
    </font>
    <font>
      <i/>
      <sz val="10"/>
      <name val="Geneva"/>
      <family val="0"/>
    </font>
    <font>
      <b/>
      <i/>
      <sz val="10"/>
      <name val="Geneva"/>
      <family val="0"/>
    </font>
    <font>
      <sz val="10"/>
      <name val="Times New Roman"/>
      <family val="1"/>
    </font>
    <font>
      <u val="single"/>
      <sz val="9.3"/>
      <color indexed="12"/>
      <name val="Geneva"/>
      <family val="0"/>
    </font>
    <font>
      <u val="single"/>
      <sz val="9.3"/>
      <color indexed="36"/>
      <name val="Geneva"/>
      <family val="0"/>
    </font>
    <font>
      <b/>
      <sz val="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u val="single"/>
      <sz val="16"/>
      <color indexed="10"/>
      <name val="Times New Roman"/>
      <family val="1"/>
    </font>
    <font>
      <b/>
      <i/>
      <u val="single"/>
      <sz val="24"/>
      <color indexed="12"/>
      <name val="Geneva"/>
      <family val="0"/>
    </font>
    <font>
      <b/>
      <sz val="24"/>
      <color indexed="10"/>
      <name val="Times New Roman"/>
      <family val="1"/>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sz val="10"/>
      <color indexed="10"/>
      <name val="Arial"/>
      <family val="2"/>
    </font>
    <font>
      <i/>
      <sz val="14"/>
      <name val="Arial"/>
      <family val="2"/>
    </font>
    <font>
      <b/>
      <sz val="16"/>
      <name val="Arial"/>
      <family val="2"/>
    </font>
    <font>
      <sz val="12"/>
      <name val="Geneva"/>
      <family val="0"/>
    </font>
    <font>
      <i/>
      <sz val="12"/>
      <name val="Arial"/>
      <family val="2"/>
    </font>
    <font>
      <b/>
      <sz val="18"/>
      <color indexed="12"/>
      <name val="Geneva"/>
      <family val="0"/>
    </font>
    <font>
      <b/>
      <u val="single"/>
      <sz val="14"/>
      <color indexed="55"/>
      <name val="Arial"/>
      <family val="2"/>
    </font>
    <font>
      <b/>
      <sz val="16"/>
      <name val="Geneva"/>
      <family val="0"/>
    </font>
    <font>
      <b/>
      <sz val="14"/>
      <name val="Geneva"/>
      <family val="0"/>
    </font>
    <font>
      <b/>
      <sz val="12"/>
      <name val="Geneva"/>
      <family val="0"/>
    </font>
    <font>
      <i/>
      <u val="single"/>
      <sz val="10"/>
      <name val="Geneva"/>
      <family val="0"/>
    </font>
    <font>
      <b/>
      <i/>
      <sz val="16"/>
      <name val="Geneva"/>
      <family val="0"/>
    </font>
    <font>
      <sz val="9"/>
      <name val="Geneva"/>
      <family val="0"/>
    </font>
    <font>
      <u val="single"/>
      <sz val="9"/>
      <name val="Geneva"/>
      <family val="0"/>
    </font>
    <font>
      <b/>
      <sz val="18"/>
      <name val="Geneva"/>
      <family val="0"/>
    </font>
    <font>
      <b/>
      <sz val="16"/>
      <color indexed="10"/>
      <name val="Times New Roman"/>
      <family val="1"/>
    </font>
    <font>
      <b/>
      <sz val="8"/>
      <name val="Geneva"/>
      <family val="2"/>
    </font>
  </fonts>
  <fills count="12">
    <fill>
      <patternFill/>
    </fill>
    <fill>
      <patternFill patternType="gray125"/>
    </fill>
    <fill>
      <patternFill patternType="darkGray">
        <fgColor indexed="9"/>
        <bgColor indexed="13"/>
      </patternFill>
    </fill>
    <fill>
      <patternFill patternType="solid">
        <fgColor indexed="13"/>
        <bgColor indexed="64"/>
      </patternFill>
    </fill>
    <fill>
      <patternFill patternType="darkGray">
        <fgColor indexed="9"/>
        <bgColor indexed="40"/>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
      <patternFill patternType="solid">
        <fgColor indexed="21"/>
        <bgColor indexed="64"/>
      </patternFill>
    </fill>
    <fill>
      <patternFill patternType="solid">
        <fgColor indexed="41"/>
        <bgColor indexed="64"/>
      </patternFill>
    </fill>
  </fills>
  <borders count="55">
    <border>
      <left/>
      <right/>
      <top/>
      <bottom/>
      <diagonal/>
    </border>
    <border>
      <left style="medium"/>
      <right style="double"/>
      <top>
        <color indexed="63"/>
      </top>
      <bottom>
        <color indexed="63"/>
      </bottom>
    </border>
    <border>
      <left style="double"/>
      <right style="medium"/>
      <top>
        <color indexed="63"/>
      </top>
      <bottom style="thin"/>
    </border>
    <border>
      <left style="double"/>
      <right>
        <color indexed="63"/>
      </right>
      <top>
        <color indexed="63"/>
      </top>
      <bottom style="thin"/>
    </border>
    <border>
      <left style="medium"/>
      <right style="double"/>
      <top style="double"/>
      <bottom>
        <color indexed="63"/>
      </bottom>
    </border>
    <border>
      <left style="double"/>
      <right style="medium"/>
      <top style="double"/>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style="thin"/>
      <right style="thin"/>
      <top style="thin"/>
      <bottom style="thin"/>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medium"/>
    </border>
    <border>
      <left style="medium">
        <color indexed="10"/>
      </left>
      <right style="medium">
        <color indexed="10"/>
      </right>
      <top style="medium">
        <color indexed="10"/>
      </top>
      <bottom>
        <color indexed="63"/>
      </bottom>
    </border>
    <border>
      <left>
        <color indexed="63"/>
      </left>
      <right style="medium"/>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medium"/>
      <bottom style="medium"/>
    </border>
    <border>
      <left style="medium"/>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style="double"/>
      <top style="medium"/>
      <bottom style="thin"/>
    </border>
    <border>
      <left style="medium"/>
      <right style="double"/>
      <top style="thin"/>
      <bottom style="double"/>
    </border>
    <border>
      <left style="double"/>
      <right style="medium"/>
      <top style="medium"/>
      <bottom>
        <color indexed="63"/>
      </bottom>
    </border>
    <border>
      <left style="double"/>
      <right style="medium"/>
      <top>
        <color indexed="63"/>
      </top>
      <bottom style="double"/>
    </border>
    <border>
      <left style="double"/>
      <right style="medium"/>
      <top style="medium"/>
      <bottom style="thin"/>
    </border>
    <border>
      <left style="double"/>
      <right style="medium"/>
      <top style="thin"/>
      <bottom style="double"/>
    </border>
    <border>
      <left style="double"/>
      <right>
        <color indexed="63"/>
      </right>
      <top style="medium"/>
      <bottom style="thin"/>
    </border>
    <border>
      <left style="double"/>
      <right>
        <color indexed="63"/>
      </right>
      <top style="thin"/>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xf>
    <xf numFmtId="0" fontId="13" fillId="0" borderId="3" xfId="0" applyFont="1" applyFill="1" applyBorder="1" applyAlignment="1" applyProtection="1">
      <alignment horizontal="center" vertical="center"/>
      <protection/>
    </xf>
    <xf numFmtId="0" fontId="9" fillId="0" borderId="4" xfId="0" applyFont="1" applyFill="1" applyBorder="1" applyAlignment="1" applyProtection="1">
      <alignment horizontal="center" vertical="center"/>
      <protection/>
    </xf>
    <xf numFmtId="0" fontId="13" fillId="0" borderId="5" xfId="0" applyFont="1" applyFill="1" applyBorder="1" applyAlignment="1" applyProtection="1">
      <alignment horizontal="center" vertical="center"/>
      <protection/>
    </xf>
    <xf numFmtId="0" fontId="10" fillId="0" borderId="6" xfId="0" applyFont="1" applyFill="1" applyBorder="1" applyAlignment="1" applyProtection="1">
      <alignment horizontal="center" vertical="center"/>
      <protection/>
    </xf>
    <xf numFmtId="0" fontId="13" fillId="0" borderId="7" xfId="0"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13" fillId="0" borderId="8"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17" fillId="0" borderId="0" xfId="0" applyFont="1" applyAlignment="1">
      <alignment vertical="center"/>
    </xf>
    <xf numFmtId="0" fontId="18" fillId="0" borderId="0" xfId="0" applyFont="1" applyAlignment="1">
      <alignment horizontal="center" vertical="center"/>
    </xf>
    <xf numFmtId="0" fontId="21" fillId="0" borderId="0" xfId="0" applyFont="1" applyAlignment="1">
      <alignment horizontal="left" vertical="center" indent="1"/>
    </xf>
    <xf numFmtId="0" fontId="22" fillId="2" borderId="11" xfId="0" applyFont="1" applyFill="1" applyBorder="1" applyAlignment="1">
      <alignment horizontal="left" vertical="center" indent="1"/>
    </xf>
    <xf numFmtId="0" fontId="21" fillId="3" borderId="11" xfId="0" applyFont="1" applyFill="1" applyBorder="1" applyAlignment="1">
      <alignment horizontal="left" vertical="center" indent="1"/>
    </xf>
    <xf numFmtId="0" fontId="22" fillId="4" borderId="11" xfId="0" applyFont="1" applyFill="1" applyBorder="1" applyAlignment="1">
      <alignment horizontal="left" vertical="center" indent="1"/>
    </xf>
    <xf numFmtId="0" fontId="19" fillId="0" borderId="12" xfId="0" applyFont="1" applyBorder="1" applyAlignment="1">
      <alignment horizontal="center" vertical="center"/>
    </xf>
    <xf numFmtId="0" fontId="17" fillId="0" borderId="0" xfId="0" applyFont="1" applyFill="1" applyAlignment="1" applyProtection="1">
      <alignment horizontal="center" vertical="center"/>
      <protection/>
    </xf>
    <xf numFmtId="0" fontId="17" fillId="0" borderId="0" xfId="0" applyFont="1" applyFill="1" applyAlignment="1" applyProtection="1">
      <alignment vertical="center"/>
      <protection/>
    </xf>
    <xf numFmtId="2" fontId="17" fillId="0" borderId="0" xfId="0" applyNumberFormat="1" applyFont="1" applyFill="1" applyAlignment="1" applyProtection="1">
      <alignment vertical="center"/>
      <protection/>
    </xf>
    <xf numFmtId="0" fontId="25" fillId="0" borderId="0" xfId="0" applyFont="1" applyFill="1" applyAlignment="1" applyProtection="1">
      <alignment vertical="center"/>
      <protection/>
    </xf>
    <xf numFmtId="49" fontId="27" fillId="0" borderId="13" xfId="0" applyNumberFormat="1" applyFont="1" applyFill="1" applyBorder="1" applyAlignment="1" applyProtection="1">
      <alignment horizontal="right" vertical="center"/>
      <protection/>
    </xf>
    <xf numFmtId="14" fontId="28" fillId="3" borderId="14" xfId="0" applyNumberFormat="1" applyFont="1" applyFill="1" applyBorder="1" applyAlignment="1" applyProtection="1">
      <alignment horizontal="center" vertical="center"/>
      <protection locked="0"/>
    </xf>
    <xf numFmtId="179" fontId="17" fillId="5" borderId="14"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xf>
    <xf numFmtId="0" fontId="29" fillId="0" borderId="0" xfId="0" applyFont="1" applyFill="1" applyBorder="1" applyAlignment="1" applyProtection="1">
      <alignment horizontal="left" indent="3"/>
      <protection/>
    </xf>
    <xf numFmtId="0" fontId="29" fillId="0" borderId="0" xfId="0" applyFont="1" applyFill="1" applyAlignment="1" applyProtection="1">
      <alignment vertical="center"/>
      <protection/>
    </xf>
    <xf numFmtId="173" fontId="30" fillId="0" borderId="0" xfId="0" applyNumberFormat="1" applyFont="1" applyFill="1" applyAlignment="1" applyProtection="1">
      <alignment horizontal="right" vertical="center"/>
      <protection/>
    </xf>
    <xf numFmtId="180" fontId="30" fillId="0" borderId="0" xfId="0" applyNumberFormat="1" applyFont="1" applyFill="1" applyAlignment="1" applyProtection="1">
      <alignment horizontal="center" vertical="center"/>
      <protection/>
    </xf>
    <xf numFmtId="0" fontId="32" fillId="6" borderId="12" xfId="0" applyFont="1" applyFill="1" applyBorder="1" applyAlignment="1" applyProtection="1">
      <alignment horizontal="center" vertical="center"/>
      <protection locked="0"/>
    </xf>
    <xf numFmtId="0" fontId="33" fillId="6" borderId="15" xfId="0" applyNumberFormat="1" applyFont="1" applyFill="1" applyBorder="1" applyAlignment="1" applyProtection="1">
      <alignment horizontal="center" vertical="center"/>
      <protection locked="0"/>
    </xf>
    <xf numFmtId="14" fontId="29" fillId="6" borderId="0" xfId="0" applyNumberFormat="1" applyFont="1" applyFill="1" applyBorder="1" applyAlignment="1" applyProtection="1">
      <alignment vertical="top"/>
      <protection/>
    </xf>
    <xf numFmtId="14" fontId="29" fillId="6" borderId="0" xfId="0" applyNumberFormat="1" applyFont="1" applyFill="1" applyBorder="1" applyAlignment="1" applyProtection="1">
      <alignment horizontal="left" vertical="top"/>
      <protection/>
    </xf>
    <xf numFmtId="14" fontId="29" fillId="0" borderId="0" xfId="0" applyNumberFormat="1" applyFont="1" applyFill="1" applyBorder="1" applyAlignment="1" applyProtection="1">
      <alignment vertical="top"/>
      <protection/>
    </xf>
    <xf numFmtId="0" fontId="17" fillId="0" borderId="0" xfId="0" applyFont="1" applyBorder="1" applyAlignment="1" applyProtection="1">
      <alignment/>
      <protection/>
    </xf>
    <xf numFmtId="0" fontId="17" fillId="0" borderId="0" xfId="0" applyFont="1" applyBorder="1" applyAlignment="1" applyProtection="1">
      <alignment horizontal="right" indent="1"/>
      <protection/>
    </xf>
    <xf numFmtId="0" fontId="38" fillId="0" borderId="0" xfId="0" applyFont="1" applyBorder="1" applyAlignment="1" applyProtection="1">
      <alignment horizontal="right" indent="1"/>
      <protection/>
    </xf>
    <xf numFmtId="0" fontId="17" fillId="0" borderId="0" xfId="0" applyFont="1" applyAlignment="1" applyProtection="1">
      <alignment/>
      <protection/>
    </xf>
    <xf numFmtId="0" fontId="17" fillId="0" borderId="0" xfId="0" applyFont="1" applyFill="1" applyAlignment="1" applyProtection="1">
      <alignment/>
      <protection/>
    </xf>
    <xf numFmtId="2" fontId="17" fillId="0" borderId="0" xfId="0" applyNumberFormat="1" applyFont="1" applyFill="1" applyAlignment="1" applyProtection="1">
      <alignment/>
      <protection/>
    </xf>
    <xf numFmtId="0" fontId="30" fillId="0" borderId="0" xfId="0" applyFont="1" applyFill="1" applyAlignment="1" applyProtection="1">
      <alignment vertical="center"/>
      <protection/>
    </xf>
    <xf numFmtId="0" fontId="17" fillId="0" borderId="0" xfId="0" applyFont="1" applyFill="1" applyBorder="1" applyAlignment="1" applyProtection="1">
      <alignment horizontal="center"/>
      <protection/>
    </xf>
    <xf numFmtId="0" fontId="28" fillId="0" borderId="0" xfId="0" applyFont="1" applyFill="1" applyBorder="1" applyAlignment="1" applyProtection="1">
      <alignment horizontal="center" vertical="center"/>
      <protection/>
    </xf>
    <xf numFmtId="0" fontId="39" fillId="7" borderId="0" xfId="0" applyFont="1" applyFill="1" applyAlignment="1" applyProtection="1">
      <alignment vertical="center"/>
      <protection/>
    </xf>
    <xf numFmtId="176" fontId="39" fillId="7" borderId="0" xfId="0" applyNumberFormat="1" applyFont="1" applyFill="1" applyAlignment="1" applyProtection="1">
      <alignment horizontal="right" vertical="center"/>
      <protection/>
    </xf>
    <xf numFmtId="0" fontId="39" fillId="7" borderId="0" xfId="0" applyFont="1" applyFill="1" applyAlignment="1" applyProtection="1">
      <alignment horizontal="right" vertical="center" indent="1"/>
      <protection/>
    </xf>
    <xf numFmtId="0" fontId="28" fillId="0" borderId="0" xfId="0" applyFont="1" applyFill="1" applyAlignment="1" applyProtection="1">
      <alignment vertical="center"/>
      <protection/>
    </xf>
    <xf numFmtId="170" fontId="28" fillId="0" borderId="0" xfId="0" applyNumberFormat="1" applyFont="1" applyFill="1" applyAlignment="1" applyProtection="1">
      <alignment horizontal="right" vertical="center"/>
      <protection/>
    </xf>
    <xf numFmtId="0" fontId="42" fillId="0" borderId="0" xfId="0" applyFont="1" applyFill="1" applyAlignment="1" applyProtection="1">
      <alignment horizontal="left" vertical="center"/>
      <protection/>
    </xf>
    <xf numFmtId="0" fontId="42" fillId="0" borderId="0" xfId="0" applyFont="1" applyFill="1" applyAlignment="1" applyProtection="1">
      <alignment horizontal="center" vertical="center"/>
      <protection/>
    </xf>
    <xf numFmtId="170" fontId="42" fillId="0" borderId="0" xfId="0" applyNumberFormat="1" applyFont="1" applyFill="1" applyAlignment="1" applyProtection="1">
      <alignment horizontal="center" vertical="center"/>
      <protection/>
    </xf>
    <xf numFmtId="0" fontId="30" fillId="0" borderId="0" xfId="0" applyFont="1" applyFill="1" applyAlignment="1" applyProtection="1">
      <alignment horizontal="right" vertical="center"/>
      <protection/>
    </xf>
    <xf numFmtId="169" fontId="17" fillId="0" borderId="0" xfId="0" applyNumberFormat="1" applyFont="1" applyFill="1" applyAlignment="1" applyProtection="1">
      <alignment horizontal="left" vertical="center"/>
      <protection/>
    </xf>
    <xf numFmtId="175" fontId="17" fillId="0" borderId="0" xfId="15" applyFont="1" applyFill="1" applyAlignment="1" applyProtection="1">
      <alignment horizontal="right" vertical="center"/>
      <protection/>
    </xf>
    <xf numFmtId="170" fontId="17" fillId="0" borderId="0" xfId="0" applyNumberFormat="1" applyFont="1" applyFill="1" applyAlignment="1" applyProtection="1">
      <alignment horizontal="right" vertical="center"/>
      <protection/>
    </xf>
    <xf numFmtId="169" fontId="28" fillId="0" borderId="0" xfId="0" applyNumberFormat="1" applyFont="1" applyFill="1" applyAlignment="1" applyProtection="1">
      <alignment horizontal="left" vertical="center"/>
      <protection/>
    </xf>
    <xf numFmtId="0" fontId="17" fillId="0" borderId="0" xfId="0" applyFont="1" applyFill="1" applyAlignment="1" applyProtection="1">
      <alignment/>
      <protection/>
    </xf>
    <xf numFmtId="177" fontId="43" fillId="0" borderId="0" xfId="15" applyNumberFormat="1" applyFont="1" applyFill="1" applyAlignment="1" applyProtection="1">
      <alignment horizontal="left" vertical="center"/>
      <protection/>
    </xf>
    <xf numFmtId="170" fontId="17" fillId="0" borderId="0" xfId="0" applyNumberFormat="1" applyFont="1" applyFill="1" applyBorder="1" applyAlignment="1" applyProtection="1">
      <alignment horizontal="right" vertical="center"/>
      <protection/>
    </xf>
    <xf numFmtId="0" fontId="37" fillId="0" borderId="0" xfId="0" applyFont="1" applyFill="1" applyAlignment="1" applyProtection="1">
      <alignment vertical="center"/>
      <protection/>
    </xf>
    <xf numFmtId="2" fontId="37" fillId="0" borderId="0" xfId="0" applyNumberFormat="1" applyFont="1" applyFill="1" applyAlignment="1" applyProtection="1">
      <alignment vertical="center"/>
      <protection/>
    </xf>
    <xf numFmtId="0" fontId="17" fillId="0" borderId="0" xfId="0" applyFont="1" applyAlignment="1" applyProtection="1">
      <alignment vertical="center"/>
      <protection/>
    </xf>
    <xf numFmtId="0" fontId="42" fillId="5" borderId="0" xfId="0" applyFont="1" applyFill="1" applyAlignment="1" applyProtection="1">
      <alignment vertical="center"/>
      <protection/>
    </xf>
    <xf numFmtId="169" fontId="37" fillId="5" borderId="0" xfId="0" applyNumberFormat="1" applyFont="1" applyFill="1" applyAlignment="1" applyProtection="1">
      <alignment horizontal="left" vertical="center"/>
      <protection/>
    </xf>
    <xf numFmtId="170" fontId="25" fillId="5" borderId="14" xfId="0" applyNumberFormat="1" applyFont="1" applyFill="1" applyBorder="1" applyAlignment="1" applyProtection="1">
      <alignment horizontal="right" vertical="center"/>
      <protection/>
    </xf>
    <xf numFmtId="172" fontId="30" fillId="0" borderId="0" xfId="0" applyNumberFormat="1" applyFont="1" applyFill="1" applyAlignment="1" applyProtection="1">
      <alignment horizontal="right" vertical="center"/>
      <protection/>
    </xf>
    <xf numFmtId="40" fontId="30" fillId="0" borderId="0" xfId="15" applyNumberFormat="1" applyFont="1" applyFill="1" applyBorder="1" applyAlignment="1" applyProtection="1">
      <alignment horizontal="center" vertical="center"/>
      <protection/>
    </xf>
    <xf numFmtId="2" fontId="17" fillId="0" borderId="16" xfId="15"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wrapText="1"/>
      <protection/>
    </xf>
    <xf numFmtId="2" fontId="17" fillId="0" borderId="0" xfId="0" applyNumberFormat="1" applyFont="1" applyFill="1" applyBorder="1" applyAlignment="1" applyProtection="1">
      <alignment horizontal="left" vertical="center" wrapText="1"/>
      <protection/>
    </xf>
    <xf numFmtId="169" fontId="17" fillId="0" borderId="0" xfId="0" applyNumberFormat="1" applyFont="1" applyFill="1" applyBorder="1" applyAlignment="1" applyProtection="1">
      <alignment horizontal="left" vertical="center"/>
      <protection/>
    </xf>
    <xf numFmtId="0" fontId="21" fillId="0" borderId="0" xfId="0" applyFont="1" applyFill="1" applyAlignment="1" applyProtection="1">
      <alignment vertical="center"/>
      <protection/>
    </xf>
    <xf numFmtId="169" fontId="21" fillId="5" borderId="0" xfId="0" applyNumberFormat="1" applyFont="1" applyFill="1" applyAlignment="1" applyProtection="1">
      <alignment horizontal="left" vertical="center"/>
      <protection/>
    </xf>
    <xf numFmtId="2" fontId="21" fillId="0" borderId="0" xfId="0" applyNumberFormat="1" applyFont="1" applyFill="1" applyAlignment="1" applyProtection="1">
      <alignment vertical="center"/>
      <protection/>
    </xf>
    <xf numFmtId="0" fontId="32" fillId="5" borderId="0" xfId="0" applyFont="1" applyFill="1" applyAlignment="1" applyProtection="1">
      <alignment vertical="center"/>
      <protection/>
    </xf>
    <xf numFmtId="0" fontId="42" fillId="0" borderId="0" xfId="0" applyFont="1" applyFill="1" applyAlignment="1" applyProtection="1">
      <alignment vertical="center"/>
      <protection/>
    </xf>
    <xf numFmtId="170" fontId="30" fillId="0" borderId="0" xfId="0" applyNumberFormat="1" applyFont="1" applyFill="1" applyAlignment="1" applyProtection="1">
      <alignment horizontal="right" vertical="center"/>
      <protection/>
    </xf>
    <xf numFmtId="174" fontId="30" fillId="0" borderId="0" xfId="0" applyNumberFormat="1" applyFont="1" applyFill="1" applyAlignment="1" applyProtection="1">
      <alignment horizontal="center" vertical="center"/>
      <protection/>
    </xf>
    <xf numFmtId="174" fontId="30" fillId="0" borderId="0" xfId="0" applyNumberFormat="1" applyFont="1" applyFill="1" applyAlignment="1" applyProtection="1">
      <alignment vertical="center"/>
      <protection/>
    </xf>
    <xf numFmtId="0" fontId="17" fillId="0" borderId="0" xfId="0" applyFont="1" applyFill="1" applyAlignment="1" applyProtection="1">
      <alignment vertical="top"/>
      <protection/>
    </xf>
    <xf numFmtId="0" fontId="28" fillId="0" borderId="17" xfId="0" applyFont="1" applyFill="1" applyBorder="1" applyAlignment="1" applyProtection="1">
      <alignment horizontal="left" indent="1"/>
      <protection/>
    </xf>
    <xf numFmtId="0" fontId="17" fillId="0" borderId="18" xfId="0" applyFont="1" applyFill="1" applyBorder="1" applyAlignment="1" applyProtection="1">
      <alignment/>
      <protection/>
    </xf>
    <xf numFmtId="2" fontId="17" fillId="0" borderId="0" xfId="0" applyNumberFormat="1" applyFont="1" applyFill="1" applyAlignment="1" applyProtection="1">
      <alignment vertical="top"/>
      <protection/>
    </xf>
    <xf numFmtId="0" fontId="17" fillId="0" borderId="19" xfId="0" applyFont="1" applyFill="1" applyBorder="1" applyAlignment="1" applyProtection="1">
      <alignment horizontal="left" vertical="top" indent="1"/>
      <protection/>
    </xf>
    <xf numFmtId="0" fontId="17" fillId="0" borderId="20" xfId="0" applyFont="1" applyFill="1" applyBorder="1" applyAlignment="1" applyProtection="1">
      <alignment horizontal="left" vertical="top"/>
      <protection/>
    </xf>
    <xf numFmtId="181" fontId="46" fillId="0" borderId="14" xfId="15" applyNumberFormat="1" applyFont="1" applyFill="1" applyBorder="1" applyAlignment="1" applyProtection="1">
      <alignment horizontal="center" vertical="center"/>
      <protection/>
    </xf>
    <xf numFmtId="0" fontId="30" fillId="0" borderId="0" xfId="0" applyFont="1" applyFill="1" applyAlignment="1" applyProtection="1">
      <alignment vertical="top"/>
      <protection/>
    </xf>
    <xf numFmtId="171" fontId="34" fillId="0" borderId="0" xfId="0" applyNumberFormat="1" applyFont="1" applyFill="1" applyBorder="1" applyAlignment="1" applyProtection="1">
      <alignment horizontal="right" vertical="center"/>
      <protection/>
    </xf>
    <xf numFmtId="171" fontId="28" fillId="0" borderId="0" xfId="0" applyNumberFormat="1" applyFont="1" applyFill="1" applyBorder="1" applyAlignment="1" applyProtection="1">
      <alignment horizontal="right" vertical="center"/>
      <protection/>
    </xf>
    <xf numFmtId="0" fontId="17" fillId="0" borderId="0" xfId="0" applyFont="1" applyFill="1" applyBorder="1" applyAlignment="1" applyProtection="1">
      <alignment/>
      <protection/>
    </xf>
    <xf numFmtId="171" fontId="17" fillId="0" borderId="0" xfId="0" applyNumberFormat="1" applyFont="1" applyFill="1" applyBorder="1" applyAlignment="1" applyProtection="1">
      <alignment horizontal="right" vertical="center"/>
      <protection/>
    </xf>
    <xf numFmtId="0" fontId="39" fillId="0" borderId="0" xfId="0"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shrinkToFit="1"/>
      <protection/>
    </xf>
    <xf numFmtId="0" fontId="28" fillId="0" borderId="0" xfId="0" applyFont="1" applyFill="1" applyBorder="1" applyAlignment="1" applyProtection="1">
      <alignment vertical="center"/>
      <protection/>
    </xf>
    <xf numFmtId="170" fontId="35" fillId="0" borderId="0" xfId="0" applyNumberFormat="1" applyFont="1" applyFill="1" applyBorder="1" applyAlignment="1" applyProtection="1">
      <alignment vertical="center"/>
      <protection/>
    </xf>
    <xf numFmtId="171" fontId="17" fillId="0" borderId="0" xfId="0" applyNumberFormat="1" applyFont="1" applyFill="1" applyBorder="1" applyAlignment="1" applyProtection="1">
      <alignment horizontal="right" vertical="center" indent="1"/>
      <protection/>
    </xf>
    <xf numFmtId="171" fontId="39" fillId="0" borderId="0" xfId="0" applyNumberFormat="1" applyFont="1" applyFill="1" applyBorder="1" applyAlignment="1" applyProtection="1">
      <alignment horizontal="right" vertical="center" indent="1"/>
      <protection/>
    </xf>
    <xf numFmtId="1" fontId="39" fillId="0" borderId="21" xfId="0" applyNumberFormat="1" applyFont="1" applyFill="1" applyBorder="1" applyAlignment="1" applyProtection="1">
      <alignment horizontal="center" vertical="center"/>
      <protection/>
    </xf>
    <xf numFmtId="171" fontId="40" fillId="0" borderId="0" xfId="0" applyNumberFormat="1" applyFont="1" applyFill="1" applyBorder="1" applyAlignment="1" applyProtection="1">
      <alignment horizontal="right" vertical="center"/>
      <protection/>
    </xf>
    <xf numFmtId="171" fontId="28" fillId="0" borderId="0" xfId="0" applyNumberFormat="1" applyFont="1" applyFill="1" applyBorder="1" applyAlignment="1" applyProtection="1">
      <alignment horizontal="right" vertical="center" indent="1"/>
      <protection/>
    </xf>
    <xf numFmtId="0" fontId="28" fillId="3" borderId="12" xfId="0" applyFont="1" applyFill="1" applyBorder="1" applyAlignment="1" applyProtection="1">
      <alignment horizontal="center" vertical="center"/>
      <protection locked="0"/>
    </xf>
    <xf numFmtId="0" fontId="28" fillId="3" borderId="12" xfId="0" applyNumberFormat="1" applyFont="1" applyFill="1" applyBorder="1" applyAlignment="1" applyProtection="1">
      <alignment horizontal="center" vertical="center" shrinkToFit="1"/>
      <protection locked="0"/>
    </xf>
    <xf numFmtId="170" fontId="28" fillId="3" borderId="12" xfId="0" applyNumberFormat="1" applyFont="1" applyFill="1" applyBorder="1" applyAlignment="1" applyProtection="1">
      <alignment horizontal="center" vertical="center"/>
      <protection locked="0"/>
    </xf>
    <xf numFmtId="170" fontId="28" fillId="3" borderId="22" xfId="0" applyNumberFormat="1" applyFont="1" applyFill="1" applyBorder="1" applyAlignment="1" applyProtection="1">
      <alignment horizontal="center" vertical="center"/>
      <protection locked="0"/>
    </xf>
    <xf numFmtId="170" fontId="28" fillId="3" borderId="12" xfId="0" applyNumberFormat="1" applyFont="1" applyFill="1" applyBorder="1" applyAlignment="1" applyProtection="1">
      <alignment horizontal="center" vertical="top"/>
      <protection locked="0"/>
    </xf>
    <xf numFmtId="0" fontId="17" fillId="6"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47" fillId="0" borderId="0" xfId="0" applyFont="1" applyAlignment="1">
      <alignment/>
    </xf>
    <xf numFmtId="0" fontId="37" fillId="0" borderId="0" xfId="0" applyFont="1" applyFill="1" applyAlignment="1" applyProtection="1">
      <alignment/>
      <protection/>
    </xf>
    <xf numFmtId="0" fontId="48" fillId="0" borderId="0" xfId="0" applyFont="1" applyFill="1" applyAlignment="1" applyProtection="1">
      <alignment vertical="center"/>
      <protection/>
    </xf>
    <xf numFmtId="0" fontId="37" fillId="0" borderId="0" xfId="0" applyFont="1" applyFill="1" applyBorder="1" applyAlignment="1" applyProtection="1">
      <alignment horizontal="center"/>
      <protection/>
    </xf>
    <xf numFmtId="0" fontId="29" fillId="6" borderId="0" xfId="0" applyFont="1" applyFill="1" applyBorder="1" applyAlignment="1" applyProtection="1">
      <alignment vertical="center"/>
      <protection/>
    </xf>
    <xf numFmtId="173" fontId="30" fillId="6" borderId="0" xfId="0" applyNumberFormat="1" applyFont="1" applyFill="1" applyBorder="1" applyAlignment="1" applyProtection="1">
      <alignment horizontal="right" vertical="center"/>
      <protection/>
    </xf>
    <xf numFmtId="180" fontId="30" fillId="6" borderId="0" xfId="0" applyNumberFormat="1" applyFont="1" applyFill="1" applyBorder="1" applyAlignment="1" applyProtection="1">
      <alignment horizontal="center" vertical="center"/>
      <protection/>
    </xf>
    <xf numFmtId="0" fontId="33" fillId="6" borderId="0" xfId="0" applyFont="1" applyFill="1" applyBorder="1" applyAlignment="1" applyProtection="1">
      <alignment horizontal="right" vertical="center" indent="1"/>
      <protection/>
    </xf>
    <xf numFmtId="0" fontId="29" fillId="6" borderId="0" xfId="0" applyFont="1" applyFill="1" applyBorder="1" applyAlignment="1" applyProtection="1">
      <alignment horizontal="right" vertical="center" indent="1"/>
      <protection/>
    </xf>
    <xf numFmtId="0" fontId="17" fillId="0" borderId="0" xfId="0" applyFont="1" applyFill="1" applyBorder="1" applyAlignment="1" applyProtection="1">
      <alignment horizontal="right" indent="1"/>
      <protection/>
    </xf>
    <xf numFmtId="0" fontId="38" fillId="0" borderId="0" xfId="0" applyFont="1" applyFill="1" applyBorder="1" applyAlignment="1" applyProtection="1">
      <alignment horizontal="right" indent="1"/>
      <protection/>
    </xf>
    <xf numFmtId="1" fontId="28" fillId="0" borderId="0" xfId="0" applyNumberFormat="1" applyFont="1" applyFill="1" applyBorder="1" applyAlignment="1" applyProtection="1">
      <alignment horizontal="center" vertical="center" shrinkToFit="1"/>
      <protection locked="0"/>
    </xf>
    <xf numFmtId="171" fontId="17" fillId="0" borderId="0" xfId="0" applyNumberFormat="1" applyFont="1" applyFill="1" applyBorder="1" applyAlignment="1" applyProtection="1">
      <alignment horizontal="right" vertical="center" wrapText="1" indent="2"/>
      <protection/>
    </xf>
    <xf numFmtId="0" fontId="28" fillId="0" borderId="0" xfId="0" applyNumberFormat="1" applyFont="1" applyFill="1" applyBorder="1" applyAlignment="1" applyProtection="1">
      <alignment horizontal="center" vertical="center" shrinkToFit="1"/>
      <protection/>
    </xf>
    <xf numFmtId="0" fontId="47" fillId="0" borderId="0" xfId="0" applyFont="1" applyFill="1" applyBorder="1" applyAlignment="1">
      <alignment/>
    </xf>
    <xf numFmtId="0" fontId="33" fillId="3" borderId="23" xfId="0" applyNumberFormat="1" applyFont="1" applyFill="1" applyBorder="1" applyAlignment="1" applyProtection="1">
      <alignment horizontal="center" vertical="center"/>
      <protection locked="0"/>
    </xf>
    <xf numFmtId="1" fontId="28" fillId="3" borderId="12" xfId="0" applyNumberFormat="1" applyFont="1" applyFill="1" applyBorder="1" applyAlignment="1" applyProtection="1">
      <alignment horizontal="center" vertical="center"/>
      <protection locked="0"/>
    </xf>
    <xf numFmtId="171" fontId="40" fillId="0" borderId="0" xfId="0" applyNumberFormat="1" applyFont="1" applyFill="1" applyBorder="1" applyAlignment="1" applyProtection="1">
      <alignment horizontal="right" vertical="center" indent="1"/>
      <protection/>
    </xf>
    <xf numFmtId="170" fontId="28" fillId="0" borderId="0" xfId="0" applyNumberFormat="1" applyFont="1" applyFill="1" applyBorder="1" applyAlignment="1" applyProtection="1">
      <alignment horizontal="center" vertical="center"/>
      <protection/>
    </xf>
    <xf numFmtId="2" fontId="17" fillId="6" borderId="0" xfId="0" applyNumberFormat="1" applyFont="1" applyFill="1" applyAlignment="1" applyProtection="1">
      <alignment vertical="center"/>
      <protection/>
    </xf>
    <xf numFmtId="0" fontId="1" fillId="0" borderId="0" xfId="0" applyFont="1" applyBorder="1" applyAlignment="1">
      <alignment vertical="center" wrapText="1"/>
    </xf>
    <xf numFmtId="180" fontId="1" fillId="3" borderId="14" xfId="15" applyNumberFormat="1" applyFont="1" applyFill="1" applyBorder="1" applyAlignment="1">
      <alignment horizontal="center" vertical="center"/>
    </xf>
    <xf numFmtId="0" fontId="1" fillId="0" borderId="0" xfId="0" applyFont="1" applyBorder="1" applyAlignment="1">
      <alignment horizontal="center" vertical="center" textRotation="90"/>
    </xf>
    <xf numFmtId="180" fontId="1" fillId="0" borderId="0" xfId="15" applyNumberFormat="1" applyFont="1" applyFill="1" applyBorder="1" applyAlignment="1">
      <alignment horizontal="center" vertical="center"/>
    </xf>
    <xf numFmtId="0" fontId="1" fillId="0" borderId="0" xfId="0" applyFont="1" applyBorder="1" applyAlignment="1">
      <alignment vertical="center" textRotation="90"/>
    </xf>
    <xf numFmtId="0" fontId="0" fillId="0" borderId="0" xfId="0" applyFont="1" applyAlignment="1">
      <alignment/>
    </xf>
    <xf numFmtId="164" fontId="0" fillId="0" borderId="0" xfId="0" applyNumberFormat="1" applyFont="1" applyAlignment="1">
      <alignment horizontal="center"/>
    </xf>
    <xf numFmtId="14" fontId="52" fillId="3" borderId="14" xfId="0" applyNumberFormat="1" applyFont="1" applyFill="1" applyBorder="1" applyAlignment="1" applyProtection="1">
      <alignment horizontal="center" vertical="center"/>
      <protection locked="0"/>
    </xf>
    <xf numFmtId="0" fontId="0" fillId="0" borderId="0" xfId="0" applyFont="1" applyAlignment="1">
      <alignment vertical="center"/>
    </xf>
    <xf numFmtId="176" fontId="0" fillId="0" borderId="0" xfId="0" applyNumberFormat="1" applyFont="1" applyAlignment="1">
      <alignment vertical="center"/>
    </xf>
    <xf numFmtId="0" fontId="53" fillId="0" borderId="0" xfId="0" applyFont="1" applyAlignment="1" applyProtection="1">
      <alignment vertical="center"/>
      <protection locked="0"/>
    </xf>
    <xf numFmtId="16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Alignment="1" applyProtection="1">
      <alignment vertical="center"/>
      <protection/>
    </xf>
    <xf numFmtId="0" fontId="54" fillId="0" borderId="0" xfId="0" applyFont="1" applyFill="1" applyAlignment="1" applyProtection="1">
      <alignment vertical="center"/>
      <protection/>
    </xf>
    <xf numFmtId="0" fontId="0" fillId="0" borderId="0" xfId="0" applyFont="1" applyFill="1" applyAlignment="1" applyProtection="1">
      <alignment vertical="center"/>
      <protection/>
    </xf>
    <xf numFmtId="168" fontId="1" fillId="8" borderId="11" xfId="0" applyNumberFormat="1" applyFont="1" applyFill="1" applyBorder="1" applyAlignment="1" applyProtection="1">
      <alignment horizontal="left" vertical="center"/>
      <protection/>
    </xf>
    <xf numFmtId="168" fontId="1" fillId="8" borderId="24" xfId="0" applyNumberFormat="1" applyFont="1" applyFill="1" applyBorder="1" applyAlignment="1" applyProtection="1">
      <alignment horizontal="left" vertical="center"/>
      <protection/>
    </xf>
    <xf numFmtId="164" fontId="3" fillId="8" borderId="11" xfId="0" applyNumberFormat="1" applyFont="1" applyFill="1" applyBorder="1" applyAlignment="1" applyProtection="1">
      <alignment horizontal="center" vertical="center"/>
      <protection/>
    </xf>
    <xf numFmtId="164" fontId="3" fillId="8" borderId="25" xfId="0" applyNumberFormat="1" applyFont="1" applyFill="1" applyBorder="1" applyAlignment="1" applyProtection="1">
      <alignment horizontal="center" vertical="center"/>
      <protection/>
    </xf>
    <xf numFmtId="164" fontId="3" fillId="8" borderId="24" xfId="0" applyNumberFormat="1" applyFont="1" applyFill="1" applyBorder="1" applyAlignment="1" applyProtection="1">
      <alignment horizontal="center" vertical="center"/>
      <protection/>
    </xf>
    <xf numFmtId="168" fontId="0" fillId="0" borderId="26" xfId="0" applyNumberFormat="1" applyFont="1" applyFill="1" applyBorder="1" applyAlignment="1" applyProtection="1">
      <alignment horizontal="left" vertical="center"/>
      <protection/>
    </xf>
    <xf numFmtId="168" fontId="0" fillId="0" borderId="27" xfId="0" applyNumberFormat="1" applyFont="1" applyFill="1" applyBorder="1" applyAlignment="1" applyProtection="1">
      <alignment horizontal="left" vertical="center"/>
      <protection/>
    </xf>
    <xf numFmtId="165" fontId="0" fillId="0" borderId="26" xfId="0" applyNumberFormat="1" applyFont="1" applyFill="1" applyBorder="1" applyAlignment="1" applyProtection="1">
      <alignment horizontal="center" vertical="center"/>
      <protection/>
    </xf>
    <xf numFmtId="165" fontId="0" fillId="0" borderId="28" xfId="0" applyNumberFormat="1" applyFont="1" applyFill="1" applyBorder="1" applyAlignment="1" applyProtection="1">
      <alignment horizontal="center" vertical="center"/>
      <protection/>
    </xf>
    <xf numFmtId="165" fontId="0" fillId="0" borderId="27" xfId="0" applyNumberFormat="1" applyFont="1" applyFill="1" applyBorder="1" applyAlignment="1" applyProtection="1">
      <alignment horizontal="center" vertical="center"/>
      <protection/>
    </xf>
    <xf numFmtId="168" fontId="3" fillId="8" borderId="11" xfId="0" applyNumberFormat="1" applyFont="1" applyFill="1" applyBorder="1" applyAlignment="1" applyProtection="1">
      <alignment horizontal="left" vertical="center"/>
      <protection/>
    </xf>
    <xf numFmtId="168" fontId="3" fillId="8" borderId="21" xfId="0" applyNumberFormat="1" applyFont="1" applyFill="1" applyBorder="1" applyAlignment="1" applyProtection="1">
      <alignment horizontal="left" vertical="center"/>
      <protection/>
    </xf>
    <xf numFmtId="165" fontId="2" fillId="8" borderId="21" xfId="0" applyNumberFormat="1" applyFont="1" applyFill="1" applyBorder="1" applyAlignment="1" applyProtection="1">
      <alignment horizontal="center" vertical="center"/>
      <protection/>
    </xf>
    <xf numFmtId="165" fontId="2" fillId="8" borderId="24" xfId="0" applyNumberFormat="1" applyFont="1" applyFill="1" applyBorder="1" applyAlignment="1" applyProtection="1">
      <alignment horizontal="center" vertical="center"/>
      <protection/>
    </xf>
    <xf numFmtId="168" fontId="2" fillId="0" borderId="26" xfId="0" applyNumberFormat="1" applyFont="1" applyFill="1" applyBorder="1" applyAlignment="1" applyProtection="1">
      <alignment horizontal="left" vertical="center"/>
      <protection/>
    </xf>
    <xf numFmtId="168" fontId="2" fillId="0" borderId="27" xfId="0" applyNumberFormat="1" applyFont="1" applyFill="1" applyBorder="1" applyAlignment="1" applyProtection="1">
      <alignment horizontal="left" vertical="center"/>
      <protection/>
    </xf>
    <xf numFmtId="194" fontId="2" fillId="0" borderId="26" xfId="0" applyNumberFormat="1" applyFont="1" applyFill="1" applyBorder="1" applyAlignment="1" applyProtection="1">
      <alignment horizontal="center" vertical="center"/>
      <protection/>
    </xf>
    <xf numFmtId="165" fontId="2" fillId="0" borderId="29" xfId="0" applyNumberFormat="1" applyFont="1" applyFill="1" applyBorder="1" applyAlignment="1" applyProtection="1">
      <alignment horizontal="right" vertical="center"/>
      <protection/>
    </xf>
    <xf numFmtId="196" fontId="2" fillId="0" borderId="30"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right" vertical="center"/>
      <protection/>
    </xf>
    <xf numFmtId="196" fontId="2" fillId="0" borderId="27" xfId="0" applyNumberFormat="1" applyFont="1" applyFill="1" applyBorder="1" applyAlignment="1" applyProtection="1">
      <alignment horizontal="center" vertical="center"/>
      <protection/>
    </xf>
    <xf numFmtId="2" fontId="0" fillId="0" borderId="0" xfId="0" applyNumberFormat="1" applyFont="1" applyAlignment="1">
      <alignment/>
    </xf>
    <xf numFmtId="165" fontId="2" fillId="0" borderId="31" xfId="0" applyNumberFormat="1" applyFont="1" applyFill="1" applyBorder="1" applyAlignment="1" applyProtection="1">
      <alignment horizontal="right" vertical="center"/>
      <protection/>
    </xf>
    <xf numFmtId="196" fontId="2" fillId="0" borderId="32" xfId="0" applyNumberFormat="1" applyFont="1" applyFill="1" applyBorder="1" applyAlignment="1" applyProtection="1">
      <alignment horizontal="center" vertical="center"/>
      <protection/>
    </xf>
    <xf numFmtId="165" fontId="3" fillId="8" borderId="21" xfId="0" applyNumberFormat="1" applyFont="1" applyFill="1" applyBorder="1" applyAlignment="1" applyProtection="1">
      <alignment horizontal="center" vertical="center"/>
      <protection locked="0"/>
    </xf>
    <xf numFmtId="165" fontId="3" fillId="8" borderId="21" xfId="0" applyNumberFormat="1" applyFont="1" applyFill="1" applyBorder="1" applyAlignment="1" applyProtection="1">
      <alignment horizontal="center" vertical="center"/>
      <protection/>
    </xf>
    <xf numFmtId="165" fontId="3" fillId="8" borderId="24" xfId="0" applyNumberFormat="1" applyFont="1" applyFill="1" applyBorder="1" applyAlignment="1" applyProtection="1">
      <alignment horizontal="center" vertical="center"/>
      <protection/>
    </xf>
    <xf numFmtId="165" fontId="2" fillId="0" borderId="26" xfId="0" applyNumberFormat="1" applyFont="1" applyFill="1" applyBorder="1" applyAlignment="1" applyProtection="1">
      <alignment horizontal="center" vertical="center"/>
      <protection/>
    </xf>
    <xf numFmtId="168" fontId="1" fillId="8" borderId="21" xfId="0" applyNumberFormat="1" applyFont="1" applyFill="1" applyBorder="1" applyAlignment="1" applyProtection="1">
      <alignment horizontal="left" vertical="center"/>
      <protection/>
    </xf>
    <xf numFmtId="165" fontId="0" fillId="8" borderId="21" xfId="0" applyNumberFormat="1" applyFont="1" applyFill="1" applyBorder="1" applyAlignment="1" applyProtection="1">
      <alignment horizontal="center" vertical="center"/>
      <protection/>
    </xf>
    <xf numFmtId="165" fontId="0" fillId="8" borderId="24" xfId="0" applyNumberFormat="1" applyFont="1" applyFill="1" applyBorder="1" applyAlignment="1" applyProtection="1">
      <alignment horizontal="center" vertical="center"/>
      <protection/>
    </xf>
    <xf numFmtId="168" fontId="0" fillId="0" borderId="11" xfId="0" applyNumberFormat="1" applyFont="1" applyFill="1" applyBorder="1" applyAlignment="1" applyProtection="1">
      <alignment horizontal="left" vertical="center"/>
      <protection/>
    </xf>
    <xf numFmtId="168" fontId="0" fillId="0" borderId="24" xfId="0" applyNumberFormat="1" applyFont="1" applyFill="1" applyBorder="1" applyAlignment="1" applyProtection="1">
      <alignment horizontal="left" vertical="center"/>
      <protection/>
    </xf>
    <xf numFmtId="165" fontId="0" fillId="0" borderId="11" xfId="0" applyNumberFormat="1" applyFont="1" applyFill="1" applyBorder="1" applyAlignment="1" applyProtection="1">
      <alignment horizontal="center" vertical="center"/>
      <protection/>
    </xf>
    <xf numFmtId="165" fontId="0" fillId="0" borderId="25" xfId="0" applyNumberFormat="1" applyFont="1" applyFill="1" applyBorder="1" applyAlignment="1" applyProtection="1">
      <alignment horizontal="center" vertical="center"/>
      <protection/>
    </xf>
    <xf numFmtId="165" fontId="0" fillId="0" borderId="24" xfId="0" applyNumberFormat="1" applyFont="1" applyFill="1" applyBorder="1" applyAlignment="1" applyProtection="1">
      <alignment horizontal="center" vertical="center"/>
      <protection/>
    </xf>
    <xf numFmtId="187" fontId="58" fillId="9" borderId="14"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xf>
    <xf numFmtId="0" fontId="0" fillId="0" borderId="0" xfId="0" applyFont="1" applyAlignment="1" applyProtection="1">
      <alignment/>
      <protection/>
    </xf>
    <xf numFmtId="164" fontId="0" fillId="0" borderId="0" xfId="0" applyNumberFormat="1" applyFont="1" applyAlignment="1" applyProtection="1">
      <alignment horizontal="center"/>
      <protection/>
    </xf>
    <xf numFmtId="168" fontId="0" fillId="0" borderId="33" xfId="0" applyNumberFormat="1" applyFont="1" applyFill="1" applyBorder="1" applyAlignment="1" applyProtection="1">
      <alignment horizontal="left" vertical="center"/>
      <protection/>
    </xf>
    <xf numFmtId="168" fontId="0" fillId="0" borderId="32" xfId="0" applyNumberFormat="1" applyFont="1" applyFill="1" applyBorder="1" applyAlignment="1" applyProtection="1">
      <alignment horizontal="left" vertical="center"/>
      <protection/>
    </xf>
    <xf numFmtId="175" fontId="0" fillId="0" borderId="34" xfId="15" applyFont="1" applyFill="1" applyBorder="1" applyAlignment="1" applyProtection="1">
      <alignment horizontal="center" vertical="center"/>
      <protection locked="0"/>
    </xf>
    <xf numFmtId="0" fontId="0" fillId="0" borderId="0" xfId="0" applyFont="1" applyFill="1" applyBorder="1" applyAlignment="1">
      <alignment/>
    </xf>
    <xf numFmtId="175" fontId="3" fillId="8" borderId="25" xfId="15" applyFont="1" applyFill="1" applyBorder="1" applyAlignment="1" applyProtection="1">
      <alignment horizontal="center" vertical="center"/>
      <protection/>
    </xf>
    <xf numFmtId="175" fontId="3" fillId="8" borderId="24" xfId="15" applyFont="1" applyFill="1" applyBorder="1" applyAlignment="1" applyProtection="1">
      <alignment horizontal="center" vertical="center"/>
      <protection/>
    </xf>
    <xf numFmtId="180" fontId="0" fillId="0" borderId="26" xfId="0" applyNumberFormat="1" applyFont="1" applyFill="1" applyBorder="1" applyAlignment="1" applyProtection="1">
      <alignment horizontal="center" vertical="center"/>
      <protection locked="0"/>
    </xf>
    <xf numFmtId="0" fontId="52" fillId="0" borderId="0" xfId="0" applyFont="1" applyAlignment="1">
      <alignment horizontal="left" vertical="center" indent="1"/>
    </xf>
    <xf numFmtId="176" fontId="52" fillId="0" borderId="0" xfId="0" applyNumberFormat="1" applyFont="1" applyFill="1" applyBorder="1" applyAlignment="1" applyProtection="1">
      <alignment vertical="center"/>
      <protection locked="0"/>
    </xf>
    <xf numFmtId="176" fontId="52" fillId="9" borderId="14" xfId="0" applyNumberFormat="1" applyFont="1" applyFill="1" applyBorder="1" applyAlignment="1" applyProtection="1">
      <alignment horizontal="center" vertical="center"/>
      <protection locked="0"/>
    </xf>
    <xf numFmtId="9" fontId="0" fillId="0" borderId="33" xfId="22" applyNumberFormat="1" applyFont="1" applyFill="1" applyBorder="1" applyAlignment="1" applyProtection="1">
      <alignment horizontal="center" vertical="center"/>
      <protection locked="0"/>
    </xf>
    <xf numFmtId="0" fontId="20" fillId="10" borderId="12" xfId="0" applyFont="1" applyFill="1" applyBorder="1" applyAlignment="1" applyProtection="1">
      <alignment horizontal="center" vertical="center"/>
      <protection locked="0"/>
    </xf>
    <xf numFmtId="0" fontId="20" fillId="10" borderId="12" xfId="0" applyFont="1" applyFill="1" applyBorder="1" applyAlignment="1" applyProtection="1">
      <alignment horizontal="center" vertical="center"/>
      <protection locked="0"/>
    </xf>
    <xf numFmtId="175" fontId="0" fillId="0" borderId="32" xfId="15" applyFont="1" applyFill="1" applyBorder="1" applyAlignment="1" applyProtection="1">
      <alignment horizontal="center" vertical="center"/>
      <protection locked="0"/>
    </xf>
    <xf numFmtId="207" fontId="33" fillId="0" borderId="0" xfId="0" applyNumberFormat="1" applyFont="1" applyFill="1" applyAlignment="1" applyProtection="1">
      <alignment vertical="center"/>
      <protection/>
    </xf>
    <xf numFmtId="0" fontId="59" fillId="0" borderId="8" xfId="0" applyFont="1" applyFill="1" applyBorder="1" applyAlignment="1" applyProtection="1">
      <alignment horizontal="center" vertical="center"/>
      <protection/>
    </xf>
    <xf numFmtId="0" fontId="49" fillId="11" borderId="11" xfId="16" applyFont="1" applyFill="1" applyBorder="1" applyAlignment="1" applyProtection="1">
      <alignment horizontal="center"/>
      <protection locked="0"/>
    </xf>
    <xf numFmtId="173" fontId="17" fillId="0" borderId="20" xfId="0" applyNumberFormat="1" applyFont="1" applyFill="1" applyBorder="1" applyAlignment="1" applyProtection="1">
      <alignment horizontal="center" vertical="center"/>
      <protection/>
    </xf>
    <xf numFmtId="171" fontId="39" fillId="0" borderId="0" xfId="0" applyNumberFormat="1" applyFont="1" applyFill="1" applyBorder="1" applyAlignment="1" applyProtection="1">
      <alignment horizontal="right" vertical="center"/>
      <protection/>
    </xf>
    <xf numFmtId="0" fontId="39" fillId="0" borderId="29" xfId="0" applyFont="1" applyFill="1" applyBorder="1" applyAlignment="1" applyProtection="1">
      <alignment horizontal="center" vertical="center"/>
      <protection/>
    </xf>
    <xf numFmtId="0" fontId="39" fillId="0" borderId="31" xfId="0" applyFont="1" applyFill="1" applyBorder="1" applyAlignment="1" applyProtection="1">
      <alignment horizontal="center" vertical="center"/>
      <protection/>
    </xf>
    <xf numFmtId="0" fontId="24" fillId="0" borderId="0" xfId="0" applyFont="1" applyFill="1" applyAlignment="1" applyProtection="1">
      <alignment horizontal="center" vertical="center"/>
      <protection/>
    </xf>
    <xf numFmtId="207" fontId="33" fillId="0" borderId="0" xfId="0" applyNumberFormat="1" applyFont="1" applyFill="1" applyAlignment="1" applyProtection="1">
      <alignment horizontal="left" vertical="center"/>
      <protection/>
    </xf>
    <xf numFmtId="0" fontId="49" fillId="11" borderId="21" xfId="16" applyFont="1" applyFill="1" applyBorder="1" applyAlignment="1" applyProtection="1">
      <alignment horizontal="center"/>
      <protection locked="0"/>
    </xf>
    <xf numFmtId="0" fontId="49" fillId="11" borderId="24" xfId="16" applyFont="1" applyFill="1" applyBorder="1" applyAlignment="1" applyProtection="1">
      <alignment horizontal="center"/>
      <protection locked="0"/>
    </xf>
    <xf numFmtId="0" fontId="28" fillId="0" borderId="26" xfId="0" applyNumberFormat="1" applyFont="1" applyFill="1" applyBorder="1" applyAlignment="1" applyProtection="1">
      <alignment horizontal="center" vertical="center" shrinkToFit="1"/>
      <protection/>
    </xf>
    <xf numFmtId="190" fontId="26" fillId="11" borderId="11" xfId="0" applyNumberFormat="1" applyFont="1" applyFill="1" applyBorder="1" applyAlignment="1" applyProtection="1">
      <alignment horizontal="center" vertical="center"/>
      <protection locked="0"/>
    </xf>
    <xf numFmtId="190" fontId="26" fillId="11" borderId="21" xfId="0" applyNumberFormat="1" applyFont="1" applyFill="1" applyBorder="1" applyAlignment="1" applyProtection="1">
      <alignment horizontal="center" vertical="center"/>
      <protection locked="0"/>
    </xf>
    <xf numFmtId="190" fontId="26" fillId="11" borderId="24" xfId="0" applyNumberFormat="1" applyFont="1" applyFill="1" applyBorder="1" applyAlignment="1" applyProtection="1">
      <alignment horizontal="center" vertical="center"/>
      <protection locked="0"/>
    </xf>
    <xf numFmtId="171" fontId="17" fillId="0" borderId="0" xfId="0" applyNumberFormat="1" applyFont="1" applyFill="1" applyBorder="1" applyAlignment="1" applyProtection="1">
      <alignment horizontal="right" vertical="center" wrapText="1" indent="2"/>
      <protection/>
    </xf>
    <xf numFmtId="171" fontId="17" fillId="0" borderId="27" xfId="0" applyNumberFormat="1" applyFont="1" applyFill="1" applyBorder="1" applyAlignment="1" applyProtection="1">
      <alignment horizontal="right" vertical="center" wrapText="1" indent="2"/>
      <protection/>
    </xf>
    <xf numFmtId="1" fontId="28" fillId="3" borderId="35" xfId="0" applyNumberFormat="1" applyFont="1" applyFill="1" applyBorder="1" applyAlignment="1" applyProtection="1">
      <alignment horizontal="center" vertical="center" shrinkToFit="1"/>
      <protection locked="0"/>
    </xf>
    <xf numFmtId="1" fontId="28" fillId="3" borderId="22" xfId="0" applyNumberFormat="1" applyFont="1" applyFill="1" applyBorder="1" applyAlignment="1" applyProtection="1">
      <alignment horizontal="center" vertical="center" shrinkToFit="1"/>
      <protection locked="0"/>
    </xf>
    <xf numFmtId="170" fontId="50" fillId="0" borderId="0" xfId="0" applyNumberFormat="1" applyFont="1" applyFill="1" applyAlignment="1" applyProtection="1">
      <alignment horizontal="center" vertical="center"/>
      <protection/>
    </xf>
    <xf numFmtId="173" fontId="28" fillId="6" borderId="0" xfId="0" applyNumberFormat="1" applyFont="1" applyFill="1" applyBorder="1" applyAlignment="1" applyProtection="1">
      <alignment horizontal="right" vertical="center" wrapText="1" indent="1"/>
      <protection/>
    </xf>
    <xf numFmtId="173" fontId="28" fillId="6" borderId="27" xfId="0" applyNumberFormat="1" applyFont="1" applyFill="1" applyBorder="1" applyAlignment="1" applyProtection="1">
      <alignment horizontal="right" vertical="center" wrapText="1" indent="1"/>
      <protection/>
    </xf>
    <xf numFmtId="175" fontId="17" fillId="0" borderId="0" xfId="15" applyFont="1" applyFill="1" applyAlignment="1" applyProtection="1">
      <alignment horizontal="center" vertical="center"/>
      <protection/>
    </xf>
    <xf numFmtId="0" fontId="28" fillId="0" borderId="18" xfId="0" applyFont="1" applyFill="1" applyBorder="1" applyAlignment="1" applyProtection="1">
      <alignment horizontal="left" vertical="center" wrapText="1"/>
      <protection/>
    </xf>
    <xf numFmtId="170" fontId="26" fillId="5" borderId="36" xfId="0" applyNumberFormat="1" applyFont="1" applyFill="1" applyBorder="1" applyAlignment="1" applyProtection="1">
      <alignment horizontal="right" vertical="center"/>
      <protection/>
    </xf>
    <xf numFmtId="170" fontId="26" fillId="5" borderId="37" xfId="0" applyNumberFormat="1" applyFont="1" applyFill="1" applyBorder="1" applyAlignment="1" applyProtection="1">
      <alignment horizontal="right" vertical="center"/>
      <protection/>
    </xf>
    <xf numFmtId="170" fontId="34" fillId="0" borderId="18" xfId="0" applyNumberFormat="1" applyFont="1" applyFill="1" applyBorder="1" applyAlignment="1" applyProtection="1">
      <alignment horizontal="center" vertical="center"/>
      <protection/>
    </xf>
    <xf numFmtId="170" fontId="34" fillId="0" borderId="38" xfId="0" applyNumberFormat="1" applyFont="1" applyFill="1" applyBorder="1" applyAlignment="1" applyProtection="1">
      <alignment horizontal="center" vertical="center"/>
      <protection/>
    </xf>
    <xf numFmtId="170" fontId="34" fillId="0" borderId="20" xfId="0" applyNumberFormat="1" applyFont="1" applyFill="1" applyBorder="1" applyAlignment="1" applyProtection="1">
      <alignment horizontal="center" vertical="center"/>
      <protection/>
    </xf>
    <xf numFmtId="170" fontId="34" fillId="0" borderId="39" xfId="0" applyNumberFormat="1" applyFont="1" applyFill="1" applyBorder="1" applyAlignment="1" applyProtection="1">
      <alignment horizontal="center" vertical="center"/>
      <protection/>
    </xf>
    <xf numFmtId="0" fontId="28" fillId="0" borderId="0" xfId="0" applyFont="1" applyFill="1" applyAlignment="1" applyProtection="1">
      <alignment horizontal="left" wrapText="1"/>
      <protection/>
    </xf>
    <xf numFmtId="0" fontId="32" fillId="0" borderId="36" xfId="0" applyFont="1" applyFill="1" applyBorder="1" applyAlignment="1" applyProtection="1">
      <alignment horizontal="left" vertical="center" wrapText="1" indent="1"/>
      <protection/>
    </xf>
    <xf numFmtId="0" fontId="32" fillId="0" borderId="40" xfId="0" applyFont="1" applyFill="1" applyBorder="1" applyAlignment="1" applyProtection="1">
      <alignment horizontal="left" vertical="center" wrapText="1" indent="1"/>
      <protection/>
    </xf>
    <xf numFmtId="0" fontId="32" fillId="0" borderId="37" xfId="0" applyFont="1" applyFill="1" applyBorder="1" applyAlignment="1" applyProtection="1">
      <alignment horizontal="left" vertical="center" wrapText="1" indent="1"/>
      <protection/>
    </xf>
    <xf numFmtId="49" fontId="26" fillId="11" borderId="11" xfId="0" applyNumberFormat="1" applyFont="1" applyFill="1" applyBorder="1" applyAlignment="1" applyProtection="1">
      <alignment horizontal="center" vertical="center"/>
      <protection/>
    </xf>
    <xf numFmtId="49" fontId="26" fillId="11" borderId="21" xfId="0" applyNumberFormat="1" applyFont="1" applyFill="1" applyBorder="1" applyAlignment="1" applyProtection="1">
      <alignment horizontal="center" vertical="center"/>
      <protection/>
    </xf>
    <xf numFmtId="49" fontId="26" fillId="11" borderId="24" xfId="0" applyNumberFormat="1" applyFont="1" applyFill="1" applyBorder="1" applyAlignment="1" applyProtection="1">
      <alignment horizontal="center" vertical="center"/>
      <protection/>
    </xf>
    <xf numFmtId="0" fontId="2" fillId="0" borderId="0" xfId="0" applyFont="1" applyBorder="1" applyAlignment="1">
      <alignment horizontal="right" vertical="center" wrapText="1"/>
    </xf>
    <xf numFmtId="168" fontId="1" fillId="8" borderId="11" xfId="0" applyNumberFormat="1" applyFont="1" applyFill="1" applyBorder="1" applyAlignment="1" applyProtection="1">
      <alignment horizontal="center" vertical="center"/>
      <protection/>
    </xf>
    <xf numFmtId="168" fontId="1" fillId="8" borderId="21" xfId="0" applyNumberFormat="1" applyFont="1" applyFill="1" applyBorder="1" applyAlignment="1" applyProtection="1">
      <alignment horizontal="center" vertical="center"/>
      <protection/>
    </xf>
    <xf numFmtId="168" fontId="1" fillId="8" borderId="41" xfId="0" applyNumberFormat="1" applyFont="1" applyFill="1" applyBorder="1" applyAlignment="1" applyProtection="1">
      <alignment horizontal="center" vertical="center"/>
      <protection/>
    </xf>
    <xf numFmtId="164" fontId="3" fillId="0" borderId="11" xfId="0" applyNumberFormat="1" applyFont="1" applyFill="1" applyBorder="1" applyAlignment="1" applyProtection="1">
      <alignment horizontal="center" vertical="center"/>
      <protection/>
    </xf>
    <xf numFmtId="164" fontId="3" fillId="0" borderId="21" xfId="0" applyNumberFormat="1" applyFont="1" applyFill="1" applyBorder="1" applyAlignment="1" applyProtection="1">
      <alignment horizontal="center" vertical="center"/>
      <protection/>
    </xf>
    <xf numFmtId="164" fontId="3" fillId="0" borderId="24" xfId="0" applyNumberFormat="1" applyFont="1" applyFill="1" applyBorder="1" applyAlignment="1" applyProtection="1">
      <alignment horizontal="center" vertical="center"/>
      <protection/>
    </xf>
    <xf numFmtId="206" fontId="51" fillId="3" borderId="0" xfId="0" applyNumberFormat="1" applyFont="1" applyFill="1" applyBorder="1" applyAlignment="1" applyProtection="1">
      <alignment horizontal="center" vertical="center"/>
      <protection locked="0"/>
    </xf>
    <xf numFmtId="206" fontId="51" fillId="3" borderId="13" xfId="0" applyNumberFormat="1" applyFont="1" applyFill="1" applyBorder="1" applyAlignment="1" applyProtection="1">
      <alignment horizontal="center" vertical="center"/>
      <protection locked="0"/>
    </xf>
    <xf numFmtId="0" fontId="53" fillId="0" borderId="0" xfId="0" applyFont="1" applyAlignment="1" applyProtection="1">
      <alignment horizontal="left" vertical="center" wrapText="1"/>
      <protection/>
    </xf>
    <xf numFmtId="0" fontId="51" fillId="0" borderId="0" xfId="0" applyFont="1" applyAlignment="1" applyProtection="1">
      <alignment horizontal="right" vertical="center" indent="2"/>
      <protection locked="0"/>
    </xf>
    <xf numFmtId="0" fontId="51" fillId="0" borderId="13" xfId="0" applyFont="1" applyBorder="1" applyAlignment="1" applyProtection="1">
      <alignment horizontal="right" vertical="center" indent="2"/>
      <protection locked="0"/>
    </xf>
    <xf numFmtId="0" fontId="55" fillId="0" borderId="35" xfId="0" applyFont="1" applyFill="1" applyBorder="1" applyAlignment="1" applyProtection="1">
      <alignment horizontal="right" vertical="center" textRotation="90" wrapText="1" shrinkToFit="1"/>
      <protection/>
    </xf>
    <xf numFmtId="0" fontId="55" fillId="0" borderId="42" xfId="0" applyFont="1" applyFill="1" applyBorder="1" applyAlignment="1" applyProtection="1">
      <alignment horizontal="right" vertical="center" textRotation="90" shrinkToFit="1"/>
      <protection/>
    </xf>
    <xf numFmtId="0" fontId="55" fillId="0" borderId="22" xfId="0" applyFont="1" applyFill="1" applyBorder="1" applyAlignment="1" applyProtection="1">
      <alignment horizontal="right" vertical="center" textRotation="90" shrinkToFit="1"/>
      <protection/>
    </xf>
    <xf numFmtId="49" fontId="51" fillId="0" borderId="43" xfId="0" applyNumberFormat="1" applyFont="1" applyBorder="1" applyAlignment="1" applyProtection="1">
      <alignment horizontal="center" vertical="center"/>
      <protection locked="0"/>
    </xf>
    <xf numFmtId="49" fontId="51" fillId="0" borderId="13" xfId="0" applyNumberFormat="1" applyFont="1" applyBorder="1" applyAlignment="1" applyProtection="1">
      <alignment horizontal="center" vertical="center"/>
      <protection locked="0"/>
    </xf>
    <xf numFmtId="0" fontId="1" fillId="0" borderId="14" xfId="0" applyFont="1" applyBorder="1" applyAlignment="1">
      <alignment horizontal="center" vertical="center" wrapText="1"/>
    </xf>
    <xf numFmtId="0" fontId="1" fillId="0" borderId="44" xfId="0" applyFont="1" applyBorder="1" applyAlignment="1">
      <alignment horizontal="center" vertical="center" wrapText="1"/>
    </xf>
    <xf numFmtId="180" fontId="1" fillId="3" borderId="45" xfId="15" applyNumberFormat="1" applyFont="1" applyFill="1" applyBorder="1" applyAlignment="1">
      <alignment horizontal="center" vertical="center"/>
    </xf>
    <xf numFmtId="180" fontId="1" fillId="3" borderId="14" xfId="15" applyNumberFormat="1" applyFont="1" applyFill="1" applyBorder="1" applyAlignment="1">
      <alignment horizontal="center" vertical="center"/>
    </xf>
    <xf numFmtId="180" fontId="1" fillId="8" borderId="14" xfId="0" applyNumberFormat="1" applyFont="1" applyFill="1" applyBorder="1" applyAlignment="1">
      <alignment horizontal="center" vertical="center"/>
    </xf>
    <xf numFmtId="164" fontId="1" fillId="3" borderId="14" xfId="0" applyNumberFormat="1" applyFont="1" applyFill="1" applyBorder="1" applyAlignment="1" applyProtection="1">
      <alignment horizontal="center" vertical="center" wrapText="1"/>
      <protection/>
    </xf>
    <xf numFmtId="180" fontId="1" fillId="3" borderId="14" xfId="0" applyNumberFormat="1" applyFont="1" applyFill="1" applyBorder="1" applyAlignment="1">
      <alignment horizontal="center" vertical="center"/>
    </xf>
    <xf numFmtId="0" fontId="1" fillId="0" borderId="0" xfId="0" applyFont="1" applyBorder="1" applyAlignment="1">
      <alignment horizontal="center" vertical="center" textRotation="180"/>
    </xf>
    <xf numFmtId="168" fontId="0" fillId="8" borderId="36" xfId="0" applyNumberFormat="1" applyFont="1" applyFill="1" applyBorder="1" applyAlignment="1" applyProtection="1">
      <alignment horizontal="center" vertical="center" wrapText="1"/>
      <protection/>
    </xf>
    <xf numFmtId="168" fontId="0" fillId="8" borderId="37" xfId="0" applyNumberFormat="1" applyFont="1" applyFill="1" applyBorder="1" applyAlignment="1" applyProtection="1">
      <alignment horizontal="center" vertical="center" wrapText="1"/>
      <protection/>
    </xf>
    <xf numFmtId="168" fontId="0" fillId="3" borderId="45" xfId="0" applyNumberFormat="1" applyFont="1" applyFill="1" applyBorder="1" applyAlignment="1" applyProtection="1">
      <alignment horizontal="center" vertical="center" wrapText="1"/>
      <protection/>
    </xf>
    <xf numFmtId="168" fontId="0" fillId="3" borderId="14" xfId="0" applyNumberFormat="1" applyFont="1" applyFill="1" applyBorder="1" applyAlignment="1" applyProtection="1">
      <alignment horizontal="center" vertical="center" wrapText="1"/>
      <protection/>
    </xf>
    <xf numFmtId="164" fontId="1" fillId="8" borderId="14" xfId="0" applyNumberFormat="1" applyFont="1" applyFill="1" applyBorder="1" applyAlignment="1" applyProtection="1">
      <alignment horizontal="center" vertical="center" wrapText="1"/>
      <protection/>
    </xf>
    <xf numFmtId="0" fontId="14" fillId="0" borderId="0" xfId="16" applyFont="1" applyAlignment="1">
      <alignment horizontal="center" vertical="center"/>
    </xf>
    <xf numFmtId="0" fontId="16" fillId="0" borderId="0" xfId="0" applyFont="1" applyAlignment="1">
      <alignment horizontal="center" vertical="center"/>
    </xf>
    <xf numFmtId="0" fontId="15" fillId="3" borderId="0" xfId="16" applyFont="1" applyFill="1" applyAlignment="1">
      <alignment horizontal="center" vertical="center"/>
    </xf>
    <xf numFmtId="0" fontId="9" fillId="0" borderId="46"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1" fillId="0" borderId="47"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12" fillId="0" borderId="49" xfId="0" applyFont="1" applyBorder="1" applyAlignment="1" applyProtection="1">
      <alignment horizontal="center" vertical="center"/>
      <protection/>
    </xf>
    <xf numFmtId="0" fontId="12" fillId="0" borderId="50"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12" fillId="0" borderId="47" xfId="0" applyFont="1" applyBorder="1" applyAlignment="1" applyProtection="1">
      <alignment horizontal="center" vertical="center"/>
      <protection/>
    </xf>
    <xf numFmtId="0" fontId="12" fillId="0" borderId="48"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2" fillId="0" borderId="54" xfId="0" applyFont="1" applyBorder="1" applyAlignment="1" applyProtection="1">
      <alignment horizontal="center" vertical="center"/>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00FFFF"/>
        </patternFill>
      </fill>
      <border/>
    </dxf>
    <dxf>
      <font>
        <b/>
        <i val="0"/>
      </font>
      <fill>
        <patternFill>
          <bgColor rgb="FFFFFFC0"/>
        </patternFill>
      </fill>
      <border/>
    </dxf>
    <dxf>
      <font>
        <b/>
        <i/>
      </font>
      <fill>
        <patternFill>
          <bgColor rgb="FFFFFFC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xdr:cNvPicPr preferRelativeResize="1">
          <a:picLocks noChangeAspect="0"/>
        </xdr:cNvPicPr>
      </xdr:nvPicPr>
      <xdr:blipFill>
        <a:blip r:embed="rId1"/>
        <a:stretch>
          <a:fillRect/>
        </a:stretch>
      </xdr:blipFill>
      <xdr:spPr>
        <a:xfrm rot="480000">
          <a:off x="6019800"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371475</xdr:colOff>
      <xdr:row>2</xdr:row>
      <xdr:rowOff>0</xdr:rowOff>
    </xdr:from>
    <xdr:to>
      <xdr:col>6</xdr:col>
      <xdr:colOff>1257300</xdr:colOff>
      <xdr:row>7</xdr:row>
      <xdr:rowOff>66675</xdr:rowOff>
    </xdr:to>
    <xdr:pic>
      <xdr:nvPicPr>
        <xdr:cNvPr id="1" name="Picture 66"/>
        <xdr:cNvPicPr preferRelativeResize="1">
          <a:picLocks noChangeAspect="0"/>
        </xdr:cNvPicPr>
      </xdr:nvPicPr>
      <xdr:blipFill>
        <a:blip r:embed="rId1"/>
        <a:stretch>
          <a:fillRect/>
        </a:stretch>
      </xdr:blipFill>
      <xdr:spPr>
        <a:xfrm rot="480000">
          <a:off x="6553200" y="533400"/>
          <a:ext cx="8858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spip.php?article326"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showGridLines="0" tabSelected="1" workbookViewId="0" topLeftCell="A1">
      <selection activeCell="B3" sqref="B3:D3"/>
    </sheetView>
  </sheetViews>
  <sheetFormatPr defaultColWidth="11.00390625" defaultRowHeight="12.75"/>
  <cols>
    <col min="1" max="1" width="20.625" style="115" customWidth="1"/>
    <col min="2" max="2" width="48.75390625" style="115" customWidth="1"/>
    <col min="3" max="9" width="11.625" style="115" customWidth="1"/>
    <col min="10" max="10" width="3.875" style="115" customWidth="1"/>
    <col min="11" max="16384" width="11.625" style="115" customWidth="1"/>
  </cols>
  <sheetData>
    <row r="1" spans="1:11" s="26" customFormat="1" ht="23.25">
      <c r="A1" s="25"/>
      <c r="B1" s="213" t="s">
        <v>129</v>
      </c>
      <c r="C1" s="213"/>
      <c r="D1" s="213"/>
      <c r="E1" s="213"/>
      <c r="F1" s="213"/>
      <c r="G1" s="213"/>
      <c r="H1" s="214">
        <v>38960</v>
      </c>
      <c r="I1" s="214"/>
      <c r="J1" s="214"/>
      <c r="K1" s="206"/>
    </row>
    <row r="2" spans="2:10" s="26" customFormat="1" ht="18.75" thickBot="1">
      <c r="B2" s="28" t="s">
        <v>56</v>
      </c>
      <c r="H2" s="209" t="s">
        <v>33</v>
      </c>
      <c r="I2" s="209"/>
      <c r="J2" s="27"/>
    </row>
    <row r="3" spans="2:10" s="26" customFormat="1" ht="24" thickBot="1">
      <c r="B3" s="218" t="s">
        <v>111</v>
      </c>
      <c r="C3" s="219"/>
      <c r="D3" s="220"/>
      <c r="G3" s="29" t="s">
        <v>0</v>
      </c>
      <c r="H3" s="30">
        <v>38898</v>
      </c>
      <c r="I3" s="31">
        <v>55.5635</v>
      </c>
      <c r="J3" s="27"/>
    </row>
    <row r="4" spans="2:10" s="26" customFormat="1" ht="14.25" customHeight="1">
      <c r="B4" s="32"/>
      <c r="C4" s="33"/>
      <c r="D4" s="33"/>
      <c r="E4" s="34"/>
      <c r="F4" s="34"/>
      <c r="G4" s="34"/>
      <c r="H4" s="35" t="s">
        <v>131</v>
      </c>
      <c r="I4" s="36">
        <f>ROUND(I3/12,2)</f>
        <v>4.63</v>
      </c>
      <c r="J4" s="27"/>
    </row>
    <row r="5" spans="2:10" s="26" customFormat="1" ht="14.25" customHeight="1">
      <c r="B5" s="32"/>
      <c r="C5" s="33"/>
      <c r="D5" s="33"/>
      <c r="E5" s="34"/>
      <c r="F5" s="34"/>
      <c r="G5" s="34"/>
      <c r="H5" s="35"/>
      <c r="I5" s="36"/>
      <c r="J5" s="27"/>
    </row>
    <row r="6" spans="1:10" s="26" customFormat="1" ht="14.25" customHeight="1" thickBot="1">
      <c r="A6" s="225" t="s">
        <v>108</v>
      </c>
      <c r="B6" s="225"/>
      <c r="C6" s="225"/>
      <c r="D6" s="33"/>
      <c r="E6" s="119"/>
      <c r="F6" s="119"/>
      <c r="G6" s="119"/>
      <c r="H6" s="120"/>
      <c r="I6" s="121"/>
      <c r="J6" s="134"/>
    </row>
    <row r="7" spans="1:10" s="26" customFormat="1" ht="28.5" customHeight="1" thickBot="1">
      <c r="A7" s="225"/>
      <c r="B7" s="225"/>
      <c r="C7" s="225"/>
      <c r="D7" s="33"/>
      <c r="E7" s="226" t="s">
        <v>113</v>
      </c>
      <c r="F7" s="226"/>
      <c r="G7" s="226"/>
      <c r="H7" s="227"/>
      <c r="I7" s="37"/>
      <c r="J7" s="134"/>
    </row>
    <row r="8" spans="1:10" s="26" customFormat="1" ht="27.75" customHeight="1" thickBot="1">
      <c r="A8" s="225"/>
      <c r="B8" s="225"/>
      <c r="C8" s="225"/>
      <c r="D8" s="33"/>
      <c r="E8" s="113"/>
      <c r="F8" s="113"/>
      <c r="G8" s="119"/>
      <c r="H8" s="122" t="s">
        <v>85</v>
      </c>
      <c r="I8" s="38"/>
      <c r="J8" s="134"/>
    </row>
    <row r="9" spans="2:10" s="26" customFormat="1" ht="14.25" customHeight="1">
      <c r="B9" s="32"/>
      <c r="C9" s="32"/>
      <c r="D9" s="32"/>
      <c r="E9" s="39"/>
      <c r="F9" s="39"/>
      <c r="G9" s="40"/>
      <c r="H9" s="123"/>
      <c r="I9" s="113"/>
      <c r="J9" s="134"/>
    </row>
    <row r="10" spans="2:10" s="26" customFormat="1" ht="23.25">
      <c r="B10" s="95" t="s">
        <v>105</v>
      </c>
      <c r="C10" s="96"/>
      <c r="D10" s="96"/>
      <c r="E10" s="41"/>
      <c r="F10" s="32"/>
      <c r="G10" s="32"/>
      <c r="H10" s="32"/>
      <c r="I10" s="32"/>
      <c r="J10" s="27"/>
    </row>
    <row r="11" spans="2:10" s="26" customFormat="1" ht="24" thickBot="1">
      <c r="B11" s="97"/>
      <c r="C11" s="97"/>
      <c r="D11" s="97"/>
      <c r="E11" s="42"/>
      <c r="F11" s="97"/>
      <c r="G11" s="97"/>
      <c r="H11" s="95" t="s">
        <v>98</v>
      </c>
      <c r="I11" s="102"/>
      <c r="J11" s="27"/>
    </row>
    <row r="12" spans="2:10" s="26" customFormat="1" ht="13.5" thickBot="1">
      <c r="B12" s="98" t="s">
        <v>46</v>
      </c>
      <c r="C12" s="108"/>
      <c r="D12" s="50"/>
      <c r="E12" s="42"/>
      <c r="F12" s="97"/>
      <c r="G12" s="97"/>
      <c r="H12" s="32"/>
      <c r="I12" s="102"/>
      <c r="J12" s="27"/>
    </row>
    <row r="13" spans="2:10" s="26" customFormat="1" ht="14.25" customHeight="1" thickBot="1">
      <c r="B13" s="98" t="s">
        <v>2</v>
      </c>
      <c r="C13" s="108"/>
      <c r="D13" s="50"/>
      <c r="E13" s="32"/>
      <c r="F13" s="103"/>
      <c r="G13" s="103"/>
      <c r="H13" s="132" t="s">
        <v>109</v>
      </c>
      <c r="I13" s="130">
        <v>612</v>
      </c>
      <c r="J13" s="27"/>
    </row>
    <row r="14" spans="2:10" s="26" customFormat="1" ht="14.25" customHeight="1" thickBot="1">
      <c r="B14" s="98" t="s">
        <v>4</v>
      </c>
      <c r="C14" s="108"/>
      <c r="D14" s="50"/>
      <c r="E14" s="43"/>
      <c r="F14" s="124"/>
      <c r="G14" s="124"/>
      <c r="H14" s="103" t="s">
        <v>49</v>
      </c>
      <c r="I14" s="131"/>
      <c r="J14" s="27"/>
    </row>
    <row r="15" spans="2:10" s="26" customFormat="1" ht="14.25" customHeight="1" thickBot="1">
      <c r="B15" s="98" t="s">
        <v>6</v>
      </c>
      <c r="C15" s="108"/>
      <c r="D15" s="50"/>
      <c r="E15" s="44"/>
      <c r="F15" s="125"/>
      <c r="G15" s="125"/>
      <c r="H15" s="104" t="s">
        <v>48</v>
      </c>
      <c r="I15" s="105">
        <f>SUM(I13:I14)</f>
        <v>612</v>
      </c>
      <c r="J15" s="27"/>
    </row>
    <row r="16" spans="2:10" s="26" customFormat="1" ht="14.25" customHeight="1" thickBot="1">
      <c r="B16" s="98" t="s">
        <v>126</v>
      </c>
      <c r="C16" s="108"/>
      <c r="D16" s="50"/>
      <c r="E16" s="43"/>
      <c r="F16" s="124"/>
      <c r="G16" s="124"/>
      <c r="H16" s="103" t="s">
        <v>1</v>
      </c>
      <c r="I16" s="108"/>
      <c r="J16" s="27"/>
    </row>
    <row r="17" spans="2:10" s="26" customFormat="1" ht="14.25" customHeight="1" thickBot="1">
      <c r="B17" s="98" t="s">
        <v>127</v>
      </c>
      <c r="C17" s="108"/>
      <c r="D17" s="50"/>
      <c r="E17" s="43"/>
      <c r="F17" s="124"/>
      <c r="G17" s="124"/>
      <c r="H17" s="103" t="s">
        <v>3</v>
      </c>
      <c r="I17" s="108">
        <v>2</v>
      </c>
      <c r="J17" s="27"/>
    </row>
    <row r="18" spans="2:10" s="26" customFormat="1" ht="14.25" customHeight="1" thickBot="1">
      <c r="B18" s="210" t="s">
        <v>83</v>
      </c>
      <c r="C18" s="211">
        <f>SUM(C12:C15)</f>
        <v>0</v>
      </c>
      <c r="D18" s="99"/>
      <c r="E18" s="43"/>
      <c r="F18" s="124"/>
      <c r="G18" s="124"/>
      <c r="H18" s="103" t="s">
        <v>5</v>
      </c>
      <c r="I18" s="110"/>
      <c r="J18" s="27"/>
    </row>
    <row r="19" spans="2:10" s="26" customFormat="1" ht="14.25" customHeight="1" thickBot="1">
      <c r="B19" s="210"/>
      <c r="C19" s="212"/>
      <c r="D19" s="99"/>
      <c r="E19" s="43"/>
      <c r="F19" s="124"/>
      <c r="G19" s="124"/>
      <c r="H19" s="103" t="s">
        <v>7</v>
      </c>
      <c r="I19" s="110"/>
      <c r="J19" s="27"/>
    </row>
    <row r="20" spans="2:10" s="26" customFormat="1" ht="14.25" customHeight="1" thickBot="1">
      <c r="B20" s="98" t="s">
        <v>8</v>
      </c>
      <c r="C20" s="108" t="s">
        <v>87</v>
      </c>
      <c r="D20" s="50"/>
      <c r="E20" s="43"/>
      <c r="F20" s="124"/>
      <c r="G20" s="124"/>
      <c r="H20" s="103" t="s">
        <v>55</v>
      </c>
      <c r="I20" s="111"/>
      <c r="J20" s="27"/>
    </row>
    <row r="21" spans="2:10" s="26" customFormat="1" ht="14.25" customHeight="1" thickBot="1">
      <c r="B21" s="98" t="s">
        <v>68</v>
      </c>
      <c r="C21" s="109">
        <v>100</v>
      </c>
      <c r="D21" s="100" t="s">
        <v>89</v>
      </c>
      <c r="E21" s="43"/>
      <c r="F21" s="124"/>
      <c r="G21" s="124"/>
      <c r="H21" s="103" t="s">
        <v>54</v>
      </c>
      <c r="I21" s="111"/>
      <c r="J21" s="27"/>
    </row>
    <row r="22" spans="2:10" s="26" customFormat="1" ht="13.5" customHeight="1" thickBot="1">
      <c r="B22" s="98"/>
      <c r="C22" s="128"/>
      <c r="D22" s="96"/>
      <c r="E22" s="42"/>
      <c r="F22" s="97"/>
      <c r="G22" s="97"/>
      <c r="H22" s="98"/>
      <c r="I22" s="50"/>
      <c r="J22" s="27"/>
    </row>
    <row r="23" spans="2:10" s="26" customFormat="1" ht="21" customHeight="1">
      <c r="B23" s="95" t="s">
        <v>106</v>
      </c>
      <c r="C23" s="96"/>
      <c r="D23" s="50"/>
      <c r="E23" s="221" t="s">
        <v>102</v>
      </c>
      <c r="F23" s="221"/>
      <c r="G23" s="221"/>
      <c r="H23" s="222"/>
      <c r="I23" s="223"/>
      <c r="J23" s="217" t="s">
        <v>89</v>
      </c>
    </row>
    <row r="24" spans="1:10" s="26" customFormat="1" ht="14.25" customHeight="1" thickBot="1">
      <c r="A24" s="45"/>
      <c r="B24" s="98"/>
      <c r="C24" s="128"/>
      <c r="D24" s="50"/>
      <c r="E24" s="221"/>
      <c r="F24" s="221"/>
      <c r="G24" s="221"/>
      <c r="H24" s="222"/>
      <c r="I24" s="224"/>
      <c r="J24" s="217"/>
    </row>
    <row r="25" spans="2:10" s="26" customFormat="1" ht="14.25" customHeight="1" thickBot="1">
      <c r="B25" s="98" t="s">
        <v>104</v>
      </c>
      <c r="C25" s="108" t="s">
        <v>82</v>
      </c>
      <c r="D25" s="50"/>
      <c r="E25" s="127"/>
      <c r="F25" s="127"/>
      <c r="G25" s="127"/>
      <c r="H25" s="127"/>
      <c r="I25" s="126"/>
      <c r="J25" s="128"/>
    </row>
    <row r="26" spans="2:10" s="26" customFormat="1" ht="14.25" customHeight="1" thickBot="1">
      <c r="B26" s="98" t="s">
        <v>81</v>
      </c>
      <c r="C26" s="108" t="s">
        <v>82</v>
      </c>
      <c r="D26" s="101"/>
      <c r="E26" s="42"/>
      <c r="F26" s="97"/>
      <c r="G26" s="97"/>
      <c r="H26" s="97"/>
      <c r="I26" s="106" t="s">
        <v>99</v>
      </c>
      <c r="J26" s="27"/>
    </row>
    <row r="27" spans="2:10" s="26" customFormat="1" ht="13.5" thickBot="1">
      <c r="B27" s="98" t="s">
        <v>103</v>
      </c>
      <c r="C27" s="108" t="s">
        <v>82</v>
      </c>
      <c r="D27" s="101"/>
      <c r="E27" s="97"/>
      <c r="F27" s="97"/>
      <c r="G27" s="97"/>
      <c r="H27" s="103" t="s">
        <v>9</v>
      </c>
      <c r="I27" s="110"/>
      <c r="J27" s="27"/>
    </row>
    <row r="28" spans="8:10" s="26" customFormat="1" ht="13.5" thickBot="1">
      <c r="H28" s="103" t="s">
        <v>24</v>
      </c>
      <c r="I28" s="110"/>
      <c r="J28" s="27"/>
    </row>
    <row r="29" spans="2:10" s="46" customFormat="1" ht="14.25" customHeight="1">
      <c r="B29" s="32"/>
      <c r="C29" s="32"/>
      <c r="D29" s="26"/>
      <c r="E29" s="26"/>
      <c r="F29" s="26"/>
      <c r="G29" s="26"/>
      <c r="H29" s="103"/>
      <c r="I29" s="133"/>
      <c r="J29" s="27"/>
    </row>
    <row r="30" spans="2:10" s="26" customFormat="1" ht="14.25" customHeight="1" thickBot="1">
      <c r="B30" s="32"/>
      <c r="C30" s="98"/>
      <c r="D30" s="32"/>
      <c r="E30" s="32"/>
      <c r="F30" s="32"/>
      <c r="G30" s="32"/>
      <c r="H30" s="103"/>
      <c r="I30" s="133"/>
      <c r="J30" s="100"/>
    </row>
    <row r="31" spans="2:10" s="48" customFormat="1" ht="15.75" thickBot="1">
      <c r="B31" s="114"/>
      <c r="C31" s="49"/>
      <c r="D31" s="98"/>
      <c r="E31" s="97"/>
      <c r="F31" s="97"/>
      <c r="G31" s="97"/>
      <c r="H31" s="103" t="s">
        <v>100</v>
      </c>
      <c r="I31" s="110"/>
      <c r="J31" s="47"/>
    </row>
    <row r="32" spans="2:10" s="48" customFormat="1" ht="13.5" thickBot="1">
      <c r="B32" s="114"/>
      <c r="C32" s="49"/>
      <c r="D32" s="49"/>
      <c r="E32" s="98"/>
      <c r="F32" s="98"/>
      <c r="G32" s="98"/>
      <c r="H32" s="103" t="s">
        <v>88</v>
      </c>
      <c r="I32" s="110"/>
      <c r="J32" s="27"/>
    </row>
    <row r="33" spans="1:10" ht="15.75" thickBot="1">
      <c r="A33" s="117"/>
      <c r="B33" s="116"/>
      <c r="C33" s="118"/>
      <c r="D33" s="49"/>
      <c r="E33" s="98"/>
      <c r="F33" s="98"/>
      <c r="G33" s="98"/>
      <c r="H33" s="107" t="s">
        <v>84</v>
      </c>
      <c r="I33" s="112"/>
      <c r="J33" s="27"/>
    </row>
    <row r="34" spans="1:10" ht="15.75" thickBot="1">
      <c r="A34" s="117"/>
      <c r="B34" s="116"/>
      <c r="C34" s="118"/>
      <c r="D34" s="49"/>
      <c r="E34" s="98"/>
      <c r="F34" s="98"/>
      <c r="G34" s="98"/>
      <c r="H34" s="107"/>
      <c r="I34" s="50"/>
      <c r="J34" s="27"/>
    </row>
    <row r="35" spans="2:10" ht="24" thickBot="1">
      <c r="B35" s="208" t="s">
        <v>101</v>
      </c>
      <c r="C35" s="215"/>
      <c r="D35" s="215"/>
      <c r="E35" s="215"/>
      <c r="F35" s="215"/>
      <c r="G35" s="215"/>
      <c r="H35" s="215"/>
      <c r="I35" s="216"/>
      <c r="J35" s="27"/>
    </row>
    <row r="36" ht="15">
      <c r="J36" s="68"/>
    </row>
    <row r="39" ht="15">
      <c r="E39" s="129"/>
    </row>
  </sheetData>
  <sheetProtection selectLockedCells="1"/>
  <mergeCells count="12">
    <mergeCell ref="B35:I35"/>
    <mergeCell ref="J23:J24"/>
    <mergeCell ref="B3:D3"/>
    <mergeCell ref="E23:H24"/>
    <mergeCell ref="I23:I24"/>
    <mergeCell ref="A6:C8"/>
    <mergeCell ref="E7:H7"/>
    <mergeCell ref="H2:I2"/>
    <mergeCell ref="B18:B19"/>
    <mergeCell ref="C18:C19"/>
    <mergeCell ref="B1:G1"/>
    <mergeCell ref="H1:J1"/>
  </mergeCells>
  <dataValidations count="8">
    <dataValidation type="list" allowBlank="1" showInputMessage="1" showErrorMessage="1" sqref="C20:D20 D23:D25 C25:C27">
      <formula1>"O,N"</formula1>
    </dataValidation>
    <dataValidation type="list" allowBlank="1" showInputMessage="1" showErrorMessage="1" sqref="I17">
      <formula1>"1,2,3"</formula1>
    </dataValidation>
    <dataValidation type="list" allowBlank="1" showInputMessage="1" sqref="C12:D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D21 J23:J25"/>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s>
  <hyperlinks>
    <hyperlink ref="B35:I35" location="Traitement!A1" display="VOIR ET IMPRIMER LA FICHE DE PAIE"/>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showGridLines="0" zoomScale="88" zoomScaleNormal="88" workbookViewId="0" topLeftCell="A1">
      <selection activeCell="K29" sqref="K29"/>
    </sheetView>
  </sheetViews>
  <sheetFormatPr defaultColWidth="11.00390625" defaultRowHeight="12.75"/>
  <cols>
    <col min="1" max="1" width="2.75390625" style="26" customWidth="1"/>
    <col min="2" max="2" width="56.875" style="26" customWidth="1"/>
    <col min="3" max="3" width="5.25390625" style="26" customWidth="1"/>
    <col min="4" max="5" width="3.75390625" style="26" customWidth="1"/>
    <col min="6" max="6" width="8.75390625" style="26" customWidth="1"/>
    <col min="7" max="7" width="32.875" style="26" customWidth="1"/>
    <col min="8" max="8" width="13.75390625" style="62" customWidth="1"/>
    <col min="9" max="9" width="15.875" style="26" customWidth="1"/>
    <col min="10" max="10" width="3.75390625" style="26" customWidth="1"/>
    <col min="11" max="11" width="6.75390625" style="27" customWidth="1"/>
    <col min="12" max="12" width="6.75390625" style="26" customWidth="1"/>
    <col min="13" max="16384" width="11.375" style="26" customWidth="1"/>
  </cols>
  <sheetData>
    <row r="1" spans="1:11" ht="23.25">
      <c r="A1" s="25"/>
      <c r="B1" s="213" t="str">
        <f>Données!B1</f>
        <v>SNUipp/FSU Calcul traitement</v>
      </c>
      <c r="C1" s="213"/>
      <c r="D1" s="213"/>
      <c r="E1" s="213"/>
      <c r="F1" s="213"/>
      <c r="G1" s="213"/>
      <c r="H1" s="213"/>
      <c r="I1" s="213"/>
      <c r="J1" s="27"/>
      <c r="K1" s="26"/>
    </row>
    <row r="2" spans="2:11" ht="18.75" thickBot="1">
      <c r="B2" s="28" t="str">
        <f>Données!B2</f>
        <v>NOM                      Prénom</v>
      </c>
      <c r="H2" s="209" t="s">
        <v>130</v>
      </c>
      <c r="I2" s="209" t="str">
        <f>Données!H2</f>
        <v>valeur point indiciaire au</v>
      </c>
      <c r="J2" s="27"/>
      <c r="K2" s="26"/>
    </row>
    <row r="3" spans="2:11" ht="24" thickBot="1">
      <c r="B3" s="240" t="str">
        <f>Données!B3</f>
        <v>XXX</v>
      </c>
      <c r="C3" s="241"/>
      <c r="D3" s="241"/>
      <c r="E3" s="241"/>
      <c r="F3" s="242"/>
      <c r="G3" s="29"/>
      <c r="H3" s="30">
        <f>Données!H3</f>
        <v>38898</v>
      </c>
      <c r="I3" s="31">
        <f>Données!I3</f>
        <v>55.5635</v>
      </c>
      <c r="J3" s="27"/>
      <c r="K3" s="26"/>
    </row>
    <row r="4" spans="7:11" ht="14.25" customHeight="1">
      <c r="G4" s="34"/>
      <c r="H4" s="35" t="str">
        <f>Données!H4</f>
        <v>valeur brute indice mensuel</v>
      </c>
      <c r="I4" s="36">
        <f>Données!I4</f>
        <v>4.63</v>
      </c>
      <c r="J4" s="27"/>
      <c r="K4" s="26"/>
    </row>
    <row r="5" s="48" customFormat="1" ht="12.75"/>
    <row r="6" spans="2:9" ht="14.25" customHeight="1">
      <c r="B6" s="51" t="s">
        <v>86</v>
      </c>
      <c r="C6" s="51"/>
      <c r="D6" s="51"/>
      <c r="E6" s="51"/>
      <c r="F6" s="51"/>
      <c r="G6" s="51"/>
      <c r="H6" s="51"/>
      <c r="I6" s="52">
        <f>IF(Données!C21=80,Données!I3*Données!I15*85.7/100,IF(Données!C21&lt;&gt;"",Données!I3*Données!I15*Données!C21/100,Données!I3*Données!I15))</f>
        <v>34004.862</v>
      </c>
    </row>
    <row r="7" spans="2:11" s="48" customFormat="1" ht="14.25" customHeight="1">
      <c r="B7" s="51" t="s">
        <v>10</v>
      </c>
      <c r="C7" s="51"/>
      <c r="D7" s="51"/>
      <c r="E7" s="53"/>
      <c r="F7" s="53"/>
      <c r="G7" s="51"/>
      <c r="H7" s="51"/>
      <c r="I7" s="52">
        <f>IF(Données!C21=80,Données!I3*Données!I16*85.7/100,IF(Données!C21&lt;&gt;"",Données!I3*Données!I16*Données!C21/100,Données!I3*Données!I16))</f>
        <v>0</v>
      </c>
      <c r="K7" s="27"/>
    </row>
    <row r="8" spans="2:8" ht="19.5" customHeight="1">
      <c r="B8" s="54"/>
      <c r="C8" s="54"/>
      <c r="D8" s="54"/>
      <c r="E8" s="54"/>
      <c r="F8" s="54"/>
      <c r="G8" s="54"/>
      <c r="H8" s="55"/>
    </row>
    <row r="9" spans="2:9" ht="12.75" customHeight="1">
      <c r="B9" s="56" t="s">
        <v>11</v>
      </c>
      <c r="C9" s="57"/>
      <c r="D9" s="57"/>
      <c r="E9" s="58"/>
      <c r="F9" s="58"/>
      <c r="G9" s="58"/>
      <c r="H9" s="58"/>
      <c r="I9" s="59" t="s">
        <v>28</v>
      </c>
    </row>
    <row r="10" spans="2:9" ht="6.75" customHeight="1">
      <c r="B10" s="56"/>
      <c r="C10" s="57"/>
      <c r="D10" s="57"/>
      <c r="E10" s="58"/>
      <c r="F10" s="58"/>
      <c r="G10" s="58"/>
      <c r="H10" s="58"/>
      <c r="I10" s="59"/>
    </row>
    <row r="11" spans="2:9" ht="13.5" customHeight="1">
      <c r="B11" s="54" t="s">
        <v>90</v>
      </c>
      <c r="C11" s="60"/>
      <c r="D11" s="60"/>
      <c r="E11" s="60"/>
      <c r="F11" s="60"/>
      <c r="G11" s="60"/>
      <c r="H11" s="61"/>
      <c r="I11" s="62">
        <f>IF(OR(Données!I7=1,Données!I7=""),ROUNDDOWN(I6/12,2),IF(OR(Données!I7=30,Données!I7=31),ROUNDDOWN(Données!I3*Données!I8*Données!C21/100*29/12/30,2)+ROUNDDOWN(Données!I3*Données!I13*Données!C21/100/12/30,2),ROUNDDOWN(Données!I3*Données!I8*Données!C21/100*(Données!I7-1)/12/30,2)+ROUNDDOWN(Données!I3*Données!I13*Données!C21/100*(30-Données!I7+1)/12/30,2)))</f>
        <v>2833.73</v>
      </c>
    </row>
    <row r="12" spans="2:9" ht="13.5" customHeight="1">
      <c r="B12" s="26" t="s">
        <v>91</v>
      </c>
      <c r="C12" s="63"/>
      <c r="D12" s="63"/>
      <c r="E12" s="64"/>
      <c r="F12" s="64"/>
      <c r="G12" s="64"/>
      <c r="H12" s="61"/>
      <c r="I12" s="62">
        <f>ROUNDDOWN(I7/12,2)</f>
        <v>0</v>
      </c>
    </row>
    <row r="13" spans="2:9" ht="13.5" customHeight="1">
      <c r="B13" s="26" t="s">
        <v>110</v>
      </c>
      <c r="C13" s="60"/>
      <c r="D13" s="60"/>
      <c r="E13" s="60"/>
      <c r="F13" s="60"/>
      <c r="G13" s="60"/>
      <c r="H13" s="65" t="str">
        <f>IF('taux prestations sociales'!E21=0," ",'taux prestations sociales'!E21)</f>
        <v> </v>
      </c>
      <c r="I13" s="62">
        <f>IF(Données!I23="",0,IF(Données!I23&gt;100,0,IF(Données!I23&lt;0,0,I11*Données!I23/100)))</f>
        <v>0</v>
      </c>
    </row>
    <row r="14" spans="2:9" ht="13.5" customHeight="1">
      <c r="B14" s="26" t="s">
        <v>45</v>
      </c>
      <c r="C14" s="60"/>
      <c r="D14" s="60"/>
      <c r="E14" s="60"/>
      <c r="F14" s="60"/>
      <c r="G14" s="60"/>
      <c r="H14" s="65" t="str">
        <f>IF('taux prestations sociales'!E22=0," ",'taux prestations sociales'!E22)</f>
        <v> </v>
      </c>
      <c r="I14" s="62">
        <f>'taux prestations sociales'!D22</f>
        <v>28.33</v>
      </c>
    </row>
    <row r="15" spans="2:9" ht="13.5" customHeight="1">
      <c r="B15" s="26" t="s">
        <v>25</v>
      </c>
      <c r="C15" s="60"/>
      <c r="D15" s="60"/>
      <c r="E15" s="64"/>
      <c r="F15" s="64"/>
      <c r="G15" s="64"/>
      <c r="H15" s="61"/>
      <c r="I15" s="66">
        <f>Données!I19</f>
        <v>0</v>
      </c>
    </row>
    <row r="16" spans="2:9" ht="13.5" customHeight="1">
      <c r="B16" s="26" t="s">
        <v>26</v>
      </c>
      <c r="C16" s="60"/>
      <c r="D16" s="60"/>
      <c r="E16" s="60"/>
      <c r="F16" s="60"/>
      <c r="G16" s="60"/>
      <c r="H16" s="61"/>
      <c r="I16" s="62">
        <f>SUM(Données!I20:I21)</f>
        <v>0</v>
      </c>
    </row>
    <row r="17" spans="2:9" ht="13.5" customHeight="1">
      <c r="B17" s="26" t="s">
        <v>34</v>
      </c>
      <c r="C17" s="60"/>
      <c r="D17" s="60"/>
      <c r="E17" s="64"/>
      <c r="F17" s="64"/>
      <c r="G17" s="64"/>
      <c r="H17" s="61"/>
      <c r="I17" s="66">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67" customFormat="1" ht="13.5" customHeight="1">
      <c r="B18" s="26" t="s">
        <v>12</v>
      </c>
      <c r="C18" s="60"/>
      <c r="D18" s="60"/>
      <c r="E18" s="60"/>
      <c r="F18" s="60"/>
      <c r="G18" s="60"/>
      <c r="H18" s="61"/>
      <c r="I18" s="62">
        <f>Données!I27</f>
        <v>0</v>
      </c>
      <c r="K18" s="68"/>
    </row>
    <row r="19" spans="3:9" ht="13.5" customHeight="1">
      <c r="C19" s="63"/>
      <c r="D19" s="63"/>
      <c r="E19" s="45"/>
      <c r="F19" s="45"/>
      <c r="G19" s="45"/>
      <c r="H19" s="45"/>
      <c r="I19" s="69"/>
    </row>
    <row r="20" spans="2:11" s="48" customFormat="1" ht="24" customHeight="1">
      <c r="B20" s="70" t="s">
        <v>13</v>
      </c>
      <c r="C20" s="71"/>
      <c r="D20" s="71"/>
      <c r="E20" s="71"/>
      <c r="F20" s="71"/>
      <c r="G20" s="71"/>
      <c r="H20" s="71"/>
      <c r="I20" s="72">
        <f>SUM(I11:I18)</f>
        <v>2862.06</v>
      </c>
      <c r="K20" s="27"/>
    </row>
    <row r="21" spans="8:9" ht="19.5" customHeight="1">
      <c r="H21" s="26"/>
      <c r="I21" s="62"/>
    </row>
    <row r="22" spans="2:9" ht="12.75" customHeight="1">
      <c r="B22" s="56" t="s">
        <v>14</v>
      </c>
      <c r="C22" s="57"/>
      <c r="D22" s="57"/>
      <c r="E22" s="57"/>
      <c r="F22" s="57"/>
      <c r="G22" s="57"/>
      <c r="H22" s="57"/>
      <c r="I22" s="73"/>
    </row>
    <row r="23" spans="2:9" ht="6.75" customHeight="1">
      <c r="B23" s="56"/>
      <c r="C23" s="57"/>
      <c r="D23" s="57"/>
      <c r="E23" s="57"/>
      <c r="F23" s="57"/>
      <c r="G23" s="57"/>
      <c r="H23" s="57"/>
      <c r="I23" s="73"/>
    </row>
    <row r="24" spans="2:11" ht="13.5" customHeight="1">
      <c r="B24" s="26" t="s">
        <v>107</v>
      </c>
      <c r="C24" s="60"/>
      <c r="D24" s="60"/>
      <c r="E24" s="60"/>
      <c r="F24" s="60"/>
      <c r="G24" s="60"/>
      <c r="H24" s="60"/>
      <c r="I24" s="62">
        <f>ROUND((I11*0.0785),2)</f>
        <v>222.45</v>
      </c>
      <c r="J24" s="228"/>
      <c r="K24" s="228"/>
    </row>
    <row r="25" spans="2:11" ht="13.5" customHeight="1">
      <c r="B25" s="26" t="s">
        <v>15</v>
      </c>
      <c r="C25" s="60"/>
      <c r="D25" s="60"/>
      <c r="H25" s="26"/>
      <c r="I25" s="62">
        <f>ROUNDDOWN((I12*0.0785),2)</f>
        <v>0</v>
      </c>
      <c r="J25" s="228"/>
      <c r="K25" s="228"/>
    </row>
    <row r="26" spans="2:11" ht="13.5" customHeight="1">
      <c r="B26" s="26" t="s">
        <v>92</v>
      </c>
      <c r="C26" s="60"/>
      <c r="D26" s="60"/>
      <c r="E26" s="60"/>
      <c r="F26" s="60"/>
      <c r="G26" s="60"/>
      <c r="H26" s="60"/>
      <c r="I26" s="62">
        <f>ROUNDDOWN((I11+I12+I13+I14+I16+I17+I18+Données!I18-Données!I33-Données!I31)*0.97*0.024,2)+ROUNDDOWN(Données!I19*0.97*0.075,2)</f>
        <v>66.62</v>
      </c>
      <c r="J26" s="228"/>
      <c r="K26" s="228"/>
    </row>
    <row r="27" spans="2:11" ht="13.5" customHeight="1">
      <c r="B27" s="26" t="s">
        <v>72</v>
      </c>
      <c r="C27" s="60"/>
      <c r="D27" s="60"/>
      <c r="H27" s="26"/>
      <c r="I27" s="62">
        <f>ROUNDDOWN((I11+I12+I13+I14+I16+I17+I18+Données!I18-Données!I33-Données!I31)*0.97*0.051,2)</f>
        <v>141.58</v>
      </c>
      <c r="J27" s="228"/>
      <c r="K27" s="228"/>
    </row>
    <row r="28" spans="2:12" ht="13.5" customHeight="1" thickBot="1">
      <c r="B28" s="26" t="s">
        <v>93</v>
      </c>
      <c r="C28" s="60"/>
      <c r="D28" s="60"/>
      <c r="E28" s="60"/>
      <c r="F28" s="60"/>
      <c r="G28" s="60"/>
      <c r="H28" s="60"/>
      <c r="I28" s="62">
        <f>ROUNDDOWN(((((I11+I12+I13+I14+I15+I16+I17+I18+Données!I18-Données!I33-Données!I31)*0.97)*0.005)),2)</f>
        <v>13.88</v>
      </c>
      <c r="L28" s="74"/>
    </row>
    <row r="29" spans="2:13" ht="13.5" customHeight="1" thickBot="1">
      <c r="B29" s="26" t="s">
        <v>94</v>
      </c>
      <c r="C29" s="60"/>
      <c r="D29" s="60"/>
      <c r="H29" s="26"/>
      <c r="I29" s="62">
        <f>IF(K29&lt;&gt;"",K29,IF(((I14+I13+I16+I17+Données!I18-Données!I31)*0.05)&lt;0,0,IF(Données!C21&lt;&gt;"",MIN(Données!I3*Données!I13*Données!C21/100*0.2,ROUNDDOWN((I14+I13+I16+I17+Données!I18-Données!I31)*0.05,2)),MIN(Données!I3*Données!I13*0.2,ROUNDDOWN((I14+I13+I16+I17+Données!I18-Données!I31)*0.05,2)))))</f>
        <v>1.41</v>
      </c>
      <c r="J29" s="25" t="s">
        <v>53</v>
      </c>
      <c r="K29" s="75"/>
      <c r="L29" s="76"/>
      <c r="M29" s="76"/>
    </row>
    <row r="30" spans="2:13" ht="13.5" customHeight="1" thickBot="1">
      <c r="B30" s="26" t="s">
        <v>52</v>
      </c>
      <c r="C30" s="60"/>
      <c r="D30" s="60"/>
      <c r="H30" s="26"/>
      <c r="I30" s="62">
        <f>IF((I11+I12+I13-I24-I25-I29)&gt;'taux prestations sociales'!D20,ROUNDDOWN((I11+I12+I13+I14+I16+I17+I18-Données!I33-Données!I31-I29-I24-I25-I18*7.85/100)*0.01,2),0)</f>
        <v>26.38</v>
      </c>
      <c r="K30" s="77"/>
      <c r="L30" s="76"/>
      <c r="M30" s="76"/>
    </row>
    <row r="31" spans="2:13" ht="13.5" customHeight="1" thickBot="1">
      <c r="B31" s="26" t="s">
        <v>118</v>
      </c>
      <c r="C31" s="60"/>
      <c r="D31" s="60"/>
      <c r="E31" s="60"/>
      <c r="F31" s="60"/>
      <c r="G31" s="60"/>
      <c r="H31" s="60"/>
      <c r="I31" s="62">
        <f>IF(Données!C25="N",0,IF(K31&lt;&gt;"",K31,IF(AND(Données!C26="O",Données!C27="O"),ROUNDDOWN(((I11+I12+I13+I14+Données!I19+Données!I20+I17)*'taux prestations sociales'!F25),2)+Données!C16*'taux prestations sociales'!D29+Données!C17*'taux prestations sociales'!D30+ROUNDDOWN(((I11+I12+I13+I14+Données!I19+Données!I20+I17)*'taux prestations sociales'!F25),2)*'taux prestations sociales'!D31,IF(AND(Données!C26="O",Données!C27&lt;&gt;"O"),ROUNDDOWN(((I11+I12+I13+I14+Données!I19+Données!I20+I17)*'taux prestations sociales'!F25),2)+Données!C16*'taux prestations sociales'!D29+Données!C17*'taux prestations sociales'!D30,IF(AND(Données!C26&lt;&gt;"O",Données!C27="O"),ROUNDDOWN(((I11+I12+I13+I14+Données!I19+Données!I20+I17)*'taux prestations sociales'!F25),2)+ROUNDDOWN(((I11+I12+I13+I14+Données!I19+Données!I20+I17)*'taux prestations sociales'!F25),2)*'taux prestations sociales'!D31,ROUNDDOWN(((I11+I12+I13+I14+Données!I19+Données!I20+I17)*'taux prestations sociales'!F25),2))))))</f>
        <v>0</v>
      </c>
      <c r="J31" s="25" t="s">
        <v>53</v>
      </c>
      <c r="K31" s="75"/>
      <c r="L31" s="76"/>
      <c r="M31" s="76"/>
    </row>
    <row r="32" spans="2:11" s="67" customFormat="1" ht="13.5" customHeight="1">
      <c r="B32" s="32" t="s">
        <v>71</v>
      </c>
      <c r="C32" s="78"/>
      <c r="D32" s="78"/>
      <c r="E32" s="32"/>
      <c r="F32" s="32"/>
      <c r="G32" s="32"/>
      <c r="H32" s="32"/>
      <c r="I32" s="66">
        <f>Données!I28</f>
        <v>0</v>
      </c>
      <c r="J32" s="26"/>
      <c r="K32" s="77"/>
    </row>
    <row r="33" spans="2:11" ht="13.5" customHeight="1">
      <c r="B33" s="26" t="s">
        <v>16</v>
      </c>
      <c r="C33" s="60"/>
      <c r="D33" s="60"/>
      <c r="E33" s="60"/>
      <c r="F33" s="60"/>
      <c r="G33" s="60"/>
      <c r="H33" s="60"/>
      <c r="I33" s="62">
        <f>Données!I32+Données!I31</f>
        <v>0</v>
      </c>
      <c r="J33" s="67"/>
      <c r="K33" s="68"/>
    </row>
    <row r="34" spans="1:11" s="79" customFormat="1" ht="13.5" customHeight="1">
      <c r="A34" s="67"/>
      <c r="B34" s="26"/>
      <c r="C34" s="26"/>
      <c r="D34" s="26"/>
      <c r="E34" s="26"/>
      <c r="F34" s="26"/>
      <c r="G34" s="26"/>
      <c r="H34" s="26"/>
      <c r="I34" s="62"/>
      <c r="J34" s="26"/>
      <c r="K34" s="27"/>
    </row>
    <row r="35" spans="2:11" ht="25.5" customHeight="1">
      <c r="B35" s="70" t="s">
        <v>17</v>
      </c>
      <c r="C35" s="80"/>
      <c r="D35" s="80"/>
      <c r="E35" s="80"/>
      <c r="F35" s="80"/>
      <c r="G35" s="80"/>
      <c r="H35" s="80"/>
      <c r="I35" s="72">
        <f>SUM(I24:I33)+Données!I33</f>
        <v>472.32</v>
      </c>
      <c r="J35" s="79"/>
      <c r="K35" s="81"/>
    </row>
    <row r="36" spans="8:9" ht="20.25" customHeight="1">
      <c r="H36" s="26"/>
      <c r="I36" s="62"/>
    </row>
    <row r="37" spans="2:11" s="46" customFormat="1" ht="24.75" customHeight="1">
      <c r="B37" s="70" t="s">
        <v>95</v>
      </c>
      <c r="C37" s="82"/>
      <c r="D37" s="82"/>
      <c r="E37" s="82"/>
      <c r="F37" s="82"/>
      <c r="G37" s="82"/>
      <c r="H37" s="230">
        <f>I20-I35</f>
        <v>2389.74</v>
      </c>
      <c r="I37" s="231"/>
      <c r="J37" s="26"/>
      <c r="K37" s="27"/>
    </row>
    <row r="38" spans="2:11" s="46" customFormat="1" ht="13.5" customHeight="1">
      <c r="B38" s="83"/>
      <c r="C38" s="28"/>
      <c r="D38" s="28"/>
      <c r="E38" s="59"/>
      <c r="F38" s="59"/>
      <c r="G38" s="59"/>
      <c r="H38" s="84" t="s">
        <v>32</v>
      </c>
      <c r="I38" s="85">
        <f>H37*6.55957</f>
        <v>15675.666811799998</v>
      </c>
      <c r="K38" s="47"/>
    </row>
    <row r="39" spans="2:11" s="87" customFormat="1" ht="20.25" customHeight="1">
      <c r="B39" s="83"/>
      <c r="C39" s="28"/>
      <c r="D39" s="28"/>
      <c r="E39" s="59"/>
      <c r="F39" s="59"/>
      <c r="G39" s="59"/>
      <c r="H39" s="84"/>
      <c r="I39" s="86"/>
      <c r="J39" s="46"/>
      <c r="K39" s="47"/>
    </row>
    <row r="40" spans="2:11" ht="21.75" customHeight="1">
      <c r="B40" s="88" t="s">
        <v>50</v>
      </c>
      <c r="C40" s="89"/>
      <c r="D40" s="89"/>
      <c r="E40" s="89"/>
      <c r="F40" s="89"/>
      <c r="G40" s="89"/>
      <c r="H40" s="232">
        <f>G43-Données!I18+I29</f>
        <v>2470.24</v>
      </c>
      <c r="I40" s="233"/>
      <c r="J40" s="87"/>
      <c r="K40" s="90"/>
    </row>
    <row r="41" spans="2:9" ht="39.75" customHeight="1">
      <c r="B41" s="91" t="s">
        <v>51</v>
      </c>
      <c r="C41" s="92"/>
      <c r="D41" s="92"/>
      <c r="E41" s="92"/>
      <c r="F41" s="92"/>
      <c r="G41" s="92"/>
      <c r="H41" s="234"/>
      <c r="I41" s="235"/>
    </row>
    <row r="42" spans="2:9" ht="38.25" customHeight="1">
      <c r="B42" s="229" t="s">
        <v>96</v>
      </c>
      <c r="C42" s="229"/>
      <c r="D42" s="229"/>
      <c r="E42" s="229"/>
      <c r="F42" s="229"/>
      <c r="G42" s="229"/>
      <c r="H42" s="229"/>
      <c r="I42" s="229"/>
    </row>
    <row r="43" spans="2:7" ht="30" customHeight="1">
      <c r="B43" s="237" t="s">
        <v>97</v>
      </c>
      <c r="C43" s="238"/>
      <c r="D43" s="238"/>
      <c r="E43" s="238"/>
      <c r="F43" s="239"/>
      <c r="G43" s="93">
        <f>H37+I33+I31+I28+I26-Données!I19+Données!I18-Données!I31-I29</f>
        <v>2468.83</v>
      </c>
    </row>
    <row r="44" spans="2:9" ht="30.75" customHeight="1">
      <c r="B44" s="236" t="s">
        <v>112</v>
      </c>
      <c r="C44" s="236"/>
      <c r="D44" s="236"/>
      <c r="E44" s="236"/>
      <c r="F44" s="236"/>
      <c r="G44" s="236"/>
      <c r="H44" s="236"/>
      <c r="I44" s="236"/>
    </row>
    <row r="45" ht="12.75">
      <c r="B45" s="94"/>
    </row>
    <row r="46" ht="12.75">
      <c r="B46" s="48" t="s">
        <v>69</v>
      </c>
    </row>
  </sheetData>
  <sheetProtection password="CD3F" sheet="1" objects="1" scenarios="1" selectLockedCells="1"/>
  <mergeCells count="12">
    <mergeCell ref="B44:I44"/>
    <mergeCell ref="B43:F43"/>
    <mergeCell ref="B1:I1"/>
    <mergeCell ref="H2:I2"/>
    <mergeCell ref="B3:F3"/>
    <mergeCell ref="J27:K27"/>
    <mergeCell ref="J25:K25"/>
    <mergeCell ref="B42:I42"/>
    <mergeCell ref="J24:K24"/>
    <mergeCell ref="H37:I37"/>
    <mergeCell ref="J26:K26"/>
    <mergeCell ref="H40:I41"/>
  </mergeCells>
  <conditionalFormatting sqref="K29 K31 B24:I33 B11:I18 B20:I20">
    <cfRule type="expression" priority="1" dxfId="0"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71" r:id="rId4"/>
  <drawing r:id="rId3"/>
  <legacyDrawing r:id="rId2"/>
</worksheet>
</file>

<file path=xl/worksheets/sheet3.xml><?xml version="1.0" encoding="utf-8"?>
<worksheet xmlns="http://schemas.openxmlformats.org/spreadsheetml/2006/main" xmlns:r="http://schemas.openxmlformats.org/officeDocument/2006/relationships">
  <dimension ref="A2:L35"/>
  <sheetViews>
    <sheetView showGridLines="0" showRowColHeaders="0" showZeros="0" zoomScale="102" zoomScaleNormal="102" workbookViewId="0" topLeftCell="A1">
      <selection activeCell="I4" sqref="I4"/>
    </sheetView>
  </sheetViews>
  <sheetFormatPr defaultColWidth="11.00390625" defaultRowHeight="12.75"/>
  <cols>
    <col min="1" max="1" width="18.75390625" style="140" customWidth="1"/>
    <col min="2" max="2" width="31.375" style="140" customWidth="1"/>
    <col min="3" max="3" width="14.75390625" style="141" customWidth="1"/>
    <col min="4" max="4" width="11.75390625" style="140" bestFit="1" customWidth="1"/>
    <col min="5" max="5" width="21.75390625" style="140" bestFit="1" customWidth="1"/>
    <col min="6" max="6" width="12.125" style="140" bestFit="1" customWidth="1"/>
    <col min="7" max="7" width="4.625" style="140" customWidth="1"/>
    <col min="8" max="8" width="11.375" style="140" customWidth="1"/>
    <col min="9" max="12" width="10.75390625" style="140" customWidth="1"/>
    <col min="13" max="16384" width="11.375" style="140" customWidth="1"/>
  </cols>
  <sheetData>
    <row r="1" ht="24" customHeight="1"/>
    <row r="2" spans="1:8" s="143" customFormat="1" ht="27" customHeight="1">
      <c r="A2" s="253" t="s">
        <v>36</v>
      </c>
      <c r="B2" s="254"/>
      <c r="C2" s="142">
        <v>38717</v>
      </c>
      <c r="D2" s="258" t="s">
        <v>37</v>
      </c>
      <c r="E2" s="259"/>
      <c r="F2" s="201">
        <v>389.2</v>
      </c>
      <c r="G2" s="200"/>
      <c r="H2" s="144"/>
    </row>
    <row r="3" spans="1:3" s="147" customFormat="1" ht="13.5" customHeight="1" thickBot="1">
      <c r="A3" s="143"/>
      <c r="B3" s="145"/>
      <c r="C3" s="146"/>
    </row>
    <row r="4" spans="1:6" ht="16.5" customHeight="1" thickBot="1">
      <c r="A4" s="148"/>
      <c r="B4" s="149"/>
      <c r="C4" s="149"/>
      <c r="D4" s="247" t="s">
        <v>28</v>
      </c>
      <c r="E4" s="248"/>
      <c r="F4" s="249"/>
    </row>
    <row r="5" spans="1:6" ht="18" customHeight="1" thickBot="1">
      <c r="A5" s="150"/>
      <c r="B5" s="151" t="s">
        <v>18</v>
      </c>
      <c r="C5" s="152"/>
      <c r="D5" s="153" t="s">
        <v>23</v>
      </c>
      <c r="E5" s="154" t="s">
        <v>27</v>
      </c>
      <c r="F5" s="155" t="s">
        <v>35</v>
      </c>
    </row>
    <row r="6" spans="1:6" ht="13.5" customHeight="1">
      <c r="A6" s="150"/>
      <c r="B6" s="156" t="s">
        <v>19</v>
      </c>
      <c r="C6" s="157"/>
      <c r="D6" s="158">
        <v>2.29</v>
      </c>
      <c r="E6" s="159"/>
      <c r="F6" s="160"/>
    </row>
    <row r="7" spans="1:6" ht="13.5" customHeight="1">
      <c r="A7" s="150"/>
      <c r="B7" s="156" t="s">
        <v>29</v>
      </c>
      <c r="C7" s="157"/>
      <c r="D7" s="158">
        <f>IF(ROUNDDOWN((10.67*Données!C21/100)+((Traitement!$I$11+Traitement!$I$12)*0.03),2)&lt;=E7,E7,IF(ROUNDDOWN((10.67)+((Traitement!$I$11+Traitement!$I$12)*0.03),2)&gt;=F7,F7,ROUNDDOWN((10.67*Données!C21/100)+((Traitement!$I$11+Traitement!$I$12)*0.03),2)))</f>
        <v>95.68</v>
      </c>
      <c r="E7" s="159">
        <f>ROUNDDOWN(10.67+(Données!I3*plafonds!C4/12*0.03),2)</f>
        <v>73.04</v>
      </c>
      <c r="F7" s="160">
        <f>ROUNDDOWN(10.67+(Données!I3*plafonds!C5/12*0.03),2)</f>
        <v>110.26</v>
      </c>
    </row>
    <row r="8" spans="1:6" ht="13.5" customHeight="1">
      <c r="A8" s="150"/>
      <c r="B8" s="156" t="s">
        <v>30</v>
      </c>
      <c r="C8" s="157"/>
      <c r="D8" s="158">
        <f>IF(ROUNDDOWN((15.24*Données!C21/100)+((Traitement!$I$11+Traitement!$I$12)*0.08),2)&lt;=E8,E8,IF(ROUNDDOWN((15.24*Données!C21/100)+((Traitement!$I$11+Traitement!$I$12)*0.08),2)&gt;=F8,F8,ROUNDDOWN((15.24*Données!C21/100)+((Traitement!$I$11+Traitement!$I$12)*0.08),2)))</f>
        <v>241.93</v>
      </c>
      <c r="E8" s="159">
        <f>ROUNDDOWN(15.24+(Données!I3*plafonds!C4/12*0.08),2)</f>
        <v>181.56</v>
      </c>
      <c r="F8" s="160">
        <f>ROUNDDOWN((15.24*Données!C21/100)+(Données!I3*plafonds!C5/12*Données!C21/100*0.08),2)</f>
        <v>280.83</v>
      </c>
    </row>
    <row r="9" spans="1:6" ht="13.5" customHeight="1" thickBot="1">
      <c r="A9" s="150"/>
      <c r="B9" s="156" t="s">
        <v>31</v>
      </c>
      <c r="C9" s="157"/>
      <c r="D9" s="158">
        <f>IF(ROUNDDOWN((4.57*Données!C21/100)+((Traitement!$I$11+Traitement!$I$12)*0.06),2)&lt;=E9,E9,IF(ROUNDDOWN((4.57*Données!C21/100)+((Traitement!$I$11+Traitement!$I$12)*0.06),2)&gt;=F9,F9,ROUNDDOWN((4.57*Données!C21/100)+((Traitement!$I$11+Traitement!$I$12)*0.06),2)))</f>
        <v>174.59</v>
      </c>
      <c r="E9" s="159">
        <f>ROUNDDOWN(4.57+(Données!I3*plafonds!C4/12*0.06),2)</f>
        <v>129.31</v>
      </c>
      <c r="F9" s="160">
        <f>ROUNDDOWN((4.57*Données!C21/100)+(Données!I3*plafonds!C5/12*Données!C21/100*0.06),2)</f>
        <v>203.76</v>
      </c>
    </row>
    <row r="10" spans="1:6" ht="18" customHeight="1" thickBot="1">
      <c r="A10" s="255" t="s">
        <v>73</v>
      </c>
      <c r="B10" s="161" t="s">
        <v>20</v>
      </c>
      <c r="C10" s="162"/>
      <c r="D10" s="163"/>
      <c r="E10" s="163"/>
      <c r="F10" s="164"/>
    </row>
    <row r="11" spans="1:6" ht="13.5" customHeight="1">
      <c r="A11" s="256"/>
      <c r="B11" s="165" t="s">
        <v>38</v>
      </c>
      <c r="C11" s="166"/>
      <c r="D11" s="167">
        <f>ROUND($F$2*0.32,2)</f>
        <v>124.54</v>
      </c>
      <c r="E11" s="168" t="s">
        <v>80</v>
      </c>
      <c r="F11" s="169">
        <f>ROUNDUP(D11-(D11*0.005),2)</f>
        <v>123.92</v>
      </c>
    </row>
    <row r="12" spans="1:7" ht="13.5" customHeight="1">
      <c r="A12" s="256"/>
      <c r="B12" s="165" t="s">
        <v>39</v>
      </c>
      <c r="C12" s="166"/>
      <c r="D12" s="167">
        <f>ROUND($F$2*0.73,2)</f>
        <v>284.12</v>
      </c>
      <c r="E12" s="170" t="s">
        <v>80</v>
      </c>
      <c r="F12" s="171">
        <f>ROUNDUP(D12-(D12*0.005),2)</f>
        <v>282.7</v>
      </c>
      <c r="G12" s="172"/>
    </row>
    <row r="13" spans="1:7" ht="13.5" customHeight="1">
      <c r="A13" s="256"/>
      <c r="B13" s="165" t="s">
        <v>40</v>
      </c>
      <c r="C13" s="166"/>
      <c r="D13" s="167">
        <f>ROUND($F$2*1.14,2)</f>
        <v>443.69</v>
      </c>
      <c r="E13" s="170" t="s">
        <v>80</v>
      </c>
      <c r="F13" s="171">
        <f>ROUNDUP(D13-(D13*0.005),2)</f>
        <v>441.48</v>
      </c>
      <c r="G13" s="172"/>
    </row>
    <row r="14" spans="1:7" ht="13.5" customHeight="1">
      <c r="A14" s="256"/>
      <c r="B14" s="165" t="s">
        <v>41</v>
      </c>
      <c r="C14" s="166"/>
      <c r="D14" s="167">
        <f>ROUND($F$2*1.55,2)</f>
        <v>603.26</v>
      </c>
      <c r="E14" s="170" t="s">
        <v>80</v>
      </c>
      <c r="F14" s="171">
        <f>ROUNDUP(D14-(D14*0.005),2)</f>
        <v>600.25</v>
      </c>
      <c r="G14" s="172"/>
    </row>
    <row r="15" spans="1:7" ht="13.5" customHeight="1" thickBot="1">
      <c r="A15" s="256"/>
      <c r="B15" s="165" t="s">
        <v>42</v>
      </c>
      <c r="C15" s="166"/>
      <c r="D15" s="167">
        <f>ROUND($F$2*0.41,2)</f>
        <v>159.57</v>
      </c>
      <c r="E15" s="173" t="s">
        <v>80</v>
      </c>
      <c r="F15" s="174">
        <f>ROUNDUP(D15-(D15*0.005),2)</f>
        <v>158.78</v>
      </c>
      <c r="G15" s="172"/>
    </row>
    <row r="16" spans="1:7" ht="18" customHeight="1" thickBot="1">
      <c r="A16" s="256"/>
      <c r="B16" s="161" t="s">
        <v>21</v>
      </c>
      <c r="C16" s="162"/>
      <c r="D16" s="175"/>
      <c r="E16" s="176"/>
      <c r="F16" s="177"/>
      <c r="G16" s="172"/>
    </row>
    <row r="17" spans="1:6" ht="13.5" customHeight="1">
      <c r="A17" s="256"/>
      <c r="B17" s="165" t="s">
        <v>43</v>
      </c>
      <c r="C17" s="166"/>
      <c r="D17" s="178">
        <f>ROUND($F$2*0.09,2)</f>
        <v>35.03</v>
      </c>
      <c r="E17" s="168" t="s">
        <v>80</v>
      </c>
      <c r="F17" s="169">
        <f>ROUNDUP(D17-(D17*0.005),2)</f>
        <v>34.86</v>
      </c>
    </row>
    <row r="18" spans="1:6" ht="13.5" customHeight="1" thickBot="1">
      <c r="A18" s="257"/>
      <c r="B18" s="165" t="s">
        <v>44</v>
      </c>
      <c r="C18" s="166"/>
      <c r="D18" s="178">
        <f>ROUND($F$2*0.16,2)</f>
        <v>62.27</v>
      </c>
      <c r="E18" s="173" t="s">
        <v>80</v>
      </c>
      <c r="F18" s="171">
        <f>ROUNDUP(D18-(D18*0.005),2)</f>
        <v>61.96</v>
      </c>
    </row>
    <row r="19" spans="1:7" ht="18" customHeight="1" thickBot="1">
      <c r="A19" s="150"/>
      <c r="B19" s="151" t="s">
        <v>22</v>
      </c>
      <c r="C19" s="179"/>
      <c r="D19" s="180"/>
      <c r="E19" s="180"/>
      <c r="F19" s="181"/>
      <c r="G19" s="172"/>
    </row>
    <row r="20" spans="1:7" ht="13.5" customHeight="1" thickBot="1">
      <c r="A20" s="150"/>
      <c r="B20" s="156"/>
      <c r="C20" s="157"/>
      <c r="D20" s="158">
        <f>ROUNDDOWN(Données!I3*plafonds!C6/12,2)</f>
        <v>1352.04</v>
      </c>
      <c r="E20" s="159"/>
      <c r="F20" s="160"/>
      <c r="G20" s="172"/>
    </row>
    <row r="21" spans="1:6" ht="13.5" customHeight="1" thickBot="1">
      <c r="A21" s="150"/>
      <c r="B21" s="151" t="s">
        <v>47</v>
      </c>
      <c r="C21" s="179"/>
      <c r="D21" s="180"/>
      <c r="E21" s="180"/>
      <c r="F21" s="181"/>
    </row>
    <row r="22" spans="1:6" ht="13.5" customHeight="1" thickBot="1">
      <c r="A22" s="150"/>
      <c r="B22" s="182"/>
      <c r="C22" s="183"/>
      <c r="D22" s="184">
        <f>IF(AND(Données!I17=1,ROUNDDOWN((Traitement!I11+Traitement!I12)*0.03,2)&gt;E22),ROUNDDOWN((Traitement!I11+Traitement!I12)*0.03,2),IF(AND(Données!I17=2,ROUNDDOWN((Traitement!I11+Traitement!I12)*0.01,2)&gt;E22),ROUNDDOWN((Traitement!I11+Traitement!I12)*0.01,2),IF(Données!I17=3,0,E22)))</f>
        <v>28.33</v>
      </c>
      <c r="E22" s="185">
        <f>IF(AND(Données!I17=1,(Données!I15+Données!I16)&lt;plafonds!C3),ROUNDDOWN(Données!I3*plafonds!C3/12*Données!C21/100*0.03,2),IF(AND(Données!I17=2,(Données!I15+Données!I16)&lt;plafonds!C3),ROUNDDOWN(Données!I3*plafonds!C3/12*Données!C21/100*0.01,2),0))</f>
        <v>0</v>
      </c>
      <c r="F22" s="186"/>
    </row>
    <row r="23" ht="13.5" customHeight="1">
      <c r="A23" s="150"/>
    </row>
    <row r="24" spans="1:6" ht="18" customHeight="1">
      <c r="A24" s="150"/>
      <c r="D24" s="243" t="s">
        <v>123</v>
      </c>
      <c r="E24" s="243"/>
      <c r="F24" s="243"/>
    </row>
    <row r="25" spans="1:7" s="189" customFormat="1" ht="39.75" customHeight="1">
      <c r="A25" s="140"/>
      <c r="B25" s="252" t="s">
        <v>121</v>
      </c>
      <c r="C25" s="252"/>
      <c r="D25" s="250">
        <v>38717</v>
      </c>
      <c r="E25" s="251"/>
      <c r="F25" s="187">
        <v>0.028</v>
      </c>
      <c r="G25" s="199" t="s">
        <v>122</v>
      </c>
    </row>
    <row r="26" spans="1:12" ht="24" customHeight="1" thickBot="1">
      <c r="A26" s="189"/>
      <c r="B26" s="190"/>
      <c r="C26" s="191"/>
      <c r="D26" s="190"/>
      <c r="E26" s="190"/>
      <c r="F26" s="190"/>
      <c r="G26" s="189"/>
      <c r="H26" s="189"/>
      <c r="I26" s="188"/>
      <c r="J26" s="260" t="s">
        <v>116</v>
      </c>
      <c r="K26" s="260" t="s">
        <v>117</v>
      </c>
      <c r="L26" s="135"/>
    </row>
    <row r="27" spans="2:11" ht="24" customHeight="1" thickBot="1">
      <c r="B27" s="149"/>
      <c r="C27" s="149"/>
      <c r="D27" s="247" t="s">
        <v>57</v>
      </c>
      <c r="E27" s="248"/>
      <c r="F27" s="249"/>
      <c r="J27" s="261"/>
      <c r="K27" s="261"/>
    </row>
    <row r="28" spans="2:12" ht="27" customHeight="1" thickBot="1">
      <c r="B28" s="151" t="s">
        <v>70</v>
      </c>
      <c r="C28" s="152"/>
      <c r="D28" s="153" t="s">
        <v>23</v>
      </c>
      <c r="E28" s="154" t="s">
        <v>27</v>
      </c>
      <c r="F28" s="155" t="s">
        <v>35</v>
      </c>
      <c r="H28" s="265" t="s">
        <v>114</v>
      </c>
      <c r="I28" s="265"/>
      <c r="J28" s="266">
        <v>389</v>
      </c>
      <c r="K28" s="266">
        <v>1444</v>
      </c>
      <c r="L28" s="267" t="s">
        <v>0</v>
      </c>
    </row>
    <row r="29" spans="2:12" ht="12.75" customHeight="1">
      <c r="B29" s="156" t="s">
        <v>119</v>
      </c>
      <c r="C29" s="157"/>
      <c r="D29" s="198">
        <f>J32/12</f>
        <v>6.5</v>
      </c>
      <c r="E29" s="159"/>
      <c r="F29" s="160"/>
      <c r="H29" s="265"/>
      <c r="I29" s="265"/>
      <c r="J29" s="266"/>
      <c r="K29" s="266"/>
      <c r="L29" s="267"/>
    </row>
    <row r="30" spans="2:12" ht="12.75" customHeight="1">
      <c r="B30" s="156" t="s">
        <v>120</v>
      </c>
      <c r="C30" s="157"/>
      <c r="D30" s="198">
        <f>J34/12</f>
        <v>18.25</v>
      </c>
      <c r="E30" s="159"/>
      <c r="F30" s="160"/>
      <c r="H30" s="272" t="s">
        <v>115</v>
      </c>
      <c r="I30" s="272"/>
      <c r="J30" s="264">
        <f>J28*D31</f>
        <v>252.85000000000002</v>
      </c>
      <c r="K30" s="264">
        <f>K28*D31</f>
        <v>938.6</v>
      </c>
      <c r="L30" s="267"/>
    </row>
    <row r="31" spans="2:12" ht="12.75" customHeight="1" thickBot="1">
      <c r="B31" s="192" t="s">
        <v>128</v>
      </c>
      <c r="C31" s="193"/>
      <c r="D31" s="202">
        <v>0.65</v>
      </c>
      <c r="E31" s="194">
        <f>J28*D31/12</f>
        <v>21.070833333333336</v>
      </c>
      <c r="F31" s="205">
        <f>K28*D31/12</f>
        <v>78.21666666666667</v>
      </c>
      <c r="H31" s="272"/>
      <c r="I31" s="272"/>
      <c r="J31" s="264"/>
      <c r="K31" s="264"/>
      <c r="L31" s="267"/>
    </row>
    <row r="32" spans="8:12" ht="12.75" customHeight="1" thickBot="1">
      <c r="H32" s="270" t="s">
        <v>124</v>
      </c>
      <c r="I32" s="270"/>
      <c r="J32" s="262">
        <v>78</v>
      </c>
      <c r="K32" s="138"/>
      <c r="L32" s="267"/>
    </row>
    <row r="33" spans="2:12" ht="13.5" customHeight="1" thickBot="1">
      <c r="B33" s="244" t="s">
        <v>79</v>
      </c>
      <c r="C33" s="245"/>
      <c r="D33" s="246"/>
      <c r="E33" s="154" t="s">
        <v>27</v>
      </c>
      <c r="F33" s="155" t="s">
        <v>35</v>
      </c>
      <c r="H33" s="271"/>
      <c r="I33" s="271"/>
      <c r="J33" s="263"/>
      <c r="K33" s="195"/>
      <c r="L33" s="267"/>
    </row>
    <row r="34" spans="5:12" ht="24" customHeight="1" thickBot="1">
      <c r="E34" s="196">
        <f>J28/12</f>
        <v>32.416666666666664</v>
      </c>
      <c r="F34" s="197">
        <f>K28/12</f>
        <v>120.33333333333333</v>
      </c>
      <c r="H34" s="268" t="s">
        <v>125</v>
      </c>
      <c r="I34" s="269"/>
      <c r="J34" s="136">
        <v>219</v>
      </c>
      <c r="K34" s="138"/>
      <c r="L34" s="267"/>
    </row>
    <row r="35" spans="11:12" ht="24" customHeight="1">
      <c r="K35" s="139"/>
      <c r="L35" s="137"/>
    </row>
    <row r="36" ht="25.5" customHeight="1"/>
  </sheetData>
  <sheetProtection password="CD3F" sheet="1" objects="1" scenarios="1"/>
  <mergeCells count="21">
    <mergeCell ref="H28:I29"/>
    <mergeCell ref="J28:J29"/>
    <mergeCell ref="K28:K29"/>
    <mergeCell ref="L28:L34"/>
    <mergeCell ref="H34:I34"/>
    <mergeCell ref="H32:I33"/>
    <mergeCell ref="H30:I31"/>
    <mergeCell ref="J26:J27"/>
    <mergeCell ref="K26:K27"/>
    <mergeCell ref="J32:J33"/>
    <mergeCell ref="J30:J31"/>
    <mergeCell ref="K30:K31"/>
    <mergeCell ref="A2:B2"/>
    <mergeCell ref="A10:A18"/>
    <mergeCell ref="D4:F4"/>
    <mergeCell ref="D2:E2"/>
    <mergeCell ref="D24:F24"/>
    <mergeCell ref="B33:D33"/>
    <mergeCell ref="D27:F27"/>
    <mergeCell ref="D25:E25"/>
    <mergeCell ref="B25:C25"/>
  </mergeCells>
  <conditionalFormatting sqref="B33 E33:F34 B20:F20 B28:F31 B5:F9 B22:F22 H28 H30">
    <cfRule type="expression" priority="1" dxfId="1" stopIfTrue="1">
      <formula>(EVEN(ROW())=ROW())</formula>
    </cfRule>
  </conditionalFormatting>
  <conditionalFormatting sqref="B10:F18">
    <cfRule type="expression" priority="2" dxfId="2" stopIfTrue="1">
      <formula>(ODD(ROW())=ROW())</formula>
    </cfRule>
  </conditionalFormatting>
  <printOptions/>
  <pageMargins left="0.7874015748031497" right="0.7874015748031497" top="0.984251968503937" bottom="0.984251968503937" header="0.5118110236220472" footer="0.5118110236220472"/>
  <pageSetup horizontalDpi="300" verticalDpi="300" orientation="landscape" paperSize="9" scale="120" r:id="rId1"/>
</worksheet>
</file>

<file path=xl/worksheets/sheet4.xml><?xml version="1.0" encoding="utf-8"?>
<worksheet xmlns="http://schemas.openxmlformats.org/spreadsheetml/2006/main" xmlns:r="http://schemas.openxmlformats.org/officeDocument/2006/relationships">
  <dimension ref="A1:G27"/>
  <sheetViews>
    <sheetView showGridLines="0" showRowColHeaders="0" workbookViewId="0" topLeftCell="A1">
      <selection activeCell="I9" sqref="I9"/>
    </sheetView>
  </sheetViews>
  <sheetFormatPr defaultColWidth="11.00390625" defaultRowHeight="12.75"/>
  <cols>
    <col min="1" max="1" width="32.75390625" style="1" customWidth="1"/>
    <col min="2" max="2" width="11.625" style="2" customWidth="1"/>
    <col min="3" max="16384" width="11.625" style="1" customWidth="1"/>
  </cols>
  <sheetData>
    <row r="1" ht="30" customHeight="1">
      <c r="A1" s="275" t="s">
        <v>67</v>
      </c>
    </row>
    <row r="2" spans="1:7" ht="30">
      <c r="A2" s="275"/>
      <c r="B2" s="274" t="s">
        <v>63</v>
      </c>
      <c r="C2" s="274"/>
      <c r="D2" s="274"/>
      <c r="E2" s="274"/>
      <c r="F2" s="274"/>
      <c r="G2" s="274"/>
    </row>
    <row r="3" spans="2:7" ht="12" customHeight="1" thickBot="1">
      <c r="B3" s="4"/>
      <c r="C3" s="3"/>
      <c r="D3" s="3"/>
      <c r="E3" s="3"/>
      <c r="F3" s="3"/>
      <c r="G3" s="3"/>
    </row>
    <row r="4" spans="2:7" ht="18.75" customHeight="1">
      <c r="B4" s="276" t="s">
        <v>60</v>
      </c>
      <c r="C4" s="277"/>
      <c r="D4" s="276" t="s">
        <v>61</v>
      </c>
      <c r="E4" s="277"/>
      <c r="F4" s="276" t="s">
        <v>62</v>
      </c>
      <c r="G4" s="277"/>
    </row>
    <row r="5" spans="2:7" ht="19.5" customHeight="1" thickBot="1">
      <c r="B5" s="278"/>
      <c r="C5" s="279"/>
      <c r="D5" s="280"/>
      <c r="E5" s="281"/>
      <c r="F5" s="280"/>
      <c r="G5" s="281"/>
    </row>
    <row r="6" spans="2:7" ht="13.5" customHeight="1">
      <c r="B6" s="282" t="s">
        <v>58</v>
      </c>
      <c r="C6" s="286" t="s">
        <v>59</v>
      </c>
      <c r="D6" s="288" t="s">
        <v>58</v>
      </c>
      <c r="E6" s="290" t="s">
        <v>59</v>
      </c>
      <c r="F6" s="288" t="s">
        <v>58</v>
      </c>
      <c r="G6" s="284" t="s">
        <v>59</v>
      </c>
    </row>
    <row r="7" spans="2:7" ht="13.5" customHeight="1" thickBot="1">
      <c r="B7" s="283"/>
      <c r="C7" s="287"/>
      <c r="D7" s="289"/>
      <c r="E7" s="291"/>
      <c r="F7" s="289"/>
      <c r="G7" s="285"/>
    </row>
    <row r="8" spans="2:7" ht="21" thickTop="1">
      <c r="B8" s="5">
        <v>1</v>
      </c>
      <c r="C8" s="6">
        <v>341</v>
      </c>
      <c r="D8" s="7">
        <v>1</v>
      </c>
      <c r="E8" s="8">
        <v>349</v>
      </c>
      <c r="F8" s="9">
        <v>1</v>
      </c>
      <c r="G8" s="10">
        <v>495</v>
      </c>
    </row>
    <row r="9" spans="2:7" ht="20.25">
      <c r="B9" s="11">
        <v>2</v>
      </c>
      <c r="C9" s="12">
        <v>357</v>
      </c>
      <c r="D9" s="13">
        <v>2</v>
      </c>
      <c r="E9" s="14">
        <v>376</v>
      </c>
      <c r="F9" s="13">
        <v>2</v>
      </c>
      <c r="G9" s="12">
        <v>560</v>
      </c>
    </row>
    <row r="10" spans="2:7" ht="20.25">
      <c r="B10" s="11">
        <v>3</v>
      </c>
      <c r="C10" s="12">
        <v>366</v>
      </c>
      <c r="D10" s="13">
        <v>3</v>
      </c>
      <c r="E10" s="207">
        <v>410</v>
      </c>
      <c r="F10" s="13">
        <v>3</v>
      </c>
      <c r="G10" s="12">
        <v>601</v>
      </c>
    </row>
    <row r="11" spans="2:7" ht="20.25">
      <c r="B11" s="11">
        <v>4</v>
      </c>
      <c r="C11" s="12">
        <v>373</v>
      </c>
      <c r="D11" s="13">
        <v>4</v>
      </c>
      <c r="E11" s="207">
        <v>431</v>
      </c>
      <c r="F11" s="13">
        <v>4</v>
      </c>
      <c r="G11" s="12">
        <v>642</v>
      </c>
    </row>
    <row r="12" spans="2:7" ht="20.25">
      <c r="B12" s="11">
        <v>5</v>
      </c>
      <c r="C12" s="12">
        <v>383</v>
      </c>
      <c r="D12" s="13">
        <v>5</v>
      </c>
      <c r="E12" s="207">
        <v>453</v>
      </c>
      <c r="F12" s="13">
        <v>5</v>
      </c>
      <c r="G12" s="12">
        <v>695</v>
      </c>
    </row>
    <row r="13" spans="2:7" ht="20.25">
      <c r="B13" s="11">
        <v>6</v>
      </c>
      <c r="C13" s="12">
        <v>390</v>
      </c>
      <c r="D13" s="13">
        <v>6</v>
      </c>
      <c r="E13" s="14">
        <v>467</v>
      </c>
      <c r="F13" s="13">
        <v>6</v>
      </c>
      <c r="G13" s="12">
        <v>741</v>
      </c>
    </row>
    <row r="14" spans="2:7" ht="21" thickBot="1">
      <c r="B14" s="11">
        <v>7</v>
      </c>
      <c r="C14" s="12">
        <v>399</v>
      </c>
      <c r="D14" s="13">
        <v>7</v>
      </c>
      <c r="E14" s="14">
        <v>495</v>
      </c>
      <c r="F14" s="15">
        <v>7</v>
      </c>
      <c r="G14" s="16">
        <v>783</v>
      </c>
    </row>
    <row r="15" spans="2:7" ht="20.25">
      <c r="B15" s="11">
        <v>8</v>
      </c>
      <c r="C15" s="12">
        <v>420</v>
      </c>
      <c r="D15" s="13">
        <v>8</v>
      </c>
      <c r="E15" s="12">
        <v>531</v>
      </c>
      <c r="F15" s="3"/>
      <c r="G15" s="3"/>
    </row>
    <row r="16" spans="2:7" ht="20.25">
      <c r="B16" s="11">
        <v>9</v>
      </c>
      <c r="C16" s="12">
        <v>441</v>
      </c>
      <c r="D16" s="13">
        <v>9</v>
      </c>
      <c r="E16" s="12">
        <v>567</v>
      </c>
      <c r="F16" s="3"/>
      <c r="G16" s="3"/>
    </row>
    <row r="17" spans="2:7" ht="20.25">
      <c r="B17" s="11">
        <v>10</v>
      </c>
      <c r="C17" s="12">
        <v>469</v>
      </c>
      <c r="D17" s="13">
        <v>10</v>
      </c>
      <c r="E17" s="12">
        <v>612</v>
      </c>
      <c r="F17" s="3"/>
      <c r="G17" s="3"/>
    </row>
    <row r="18" spans="2:7" ht="21" thickBot="1">
      <c r="B18" s="17">
        <v>11</v>
      </c>
      <c r="C18" s="16">
        <v>515</v>
      </c>
      <c r="D18" s="15">
        <v>11</v>
      </c>
      <c r="E18" s="16">
        <v>658</v>
      </c>
      <c r="F18" s="3"/>
      <c r="G18" s="3"/>
    </row>
    <row r="19" spans="2:7" ht="12" customHeight="1">
      <c r="B19" s="4"/>
      <c r="C19" s="3"/>
      <c r="D19" s="3"/>
      <c r="E19" s="3"/>
      <c r="F19" s="3"/>
      <c r="G19" s="3"/>
    </row>
    <row r="20" spans="2:7" ht="30">
      <c r="B20" s="274" t="s">
        <v>64</v>
      </c>
      <c r="C20" s="274"/>
      <c r="D20" s="274"/>
      <c r="E20" s="274"/>
      <c r="F20" s="274"/>
      <c r="G20" s="274"/>
    </row>
    <row r="21" spans="2:7" ht="12" customHeight="1">
      <c r="B21" s="4"/>
      <c r="C21" s="3"/>
      <c r="D21" s="3"/>
      <c r="E21" s="3"/>
      <c r="F21" s="3"/>
      <c r="G21" s="3"/>
    </row>
    <row r="22" spans="2:7" ht="20.25">
      <c r="B22" s="273" t="s">
        <v>65</v>
      </c>
      <c r="C22" s="273"/>
      <c r="D22" s="273"/>
      <c r="E22" s="273"/>
      <c r="F22" s="273"/>
      <c r="G22" s="273"/>
    </row>
    <row r="23" spans="2:7" ht="20.25">
      <c r="B23" s="4"/>
      <c r="C23" s="3"/>
      <c r="D23" s="3"/>
      <c r="E23" s="3"/>
      <c r="F23" s="3"/>
      <c r="G23" s="3"/>
    </row>
    <row r="24" spans="2:7" ht="20.25">
      <c r="B24" s="4"/>
      <c r="C24" s="3"/>
      <c r="D24" s="3"/>
      <c r="E24" s="3"/>
      <c r="F24" s="3"/>
      <c r="G24" s="3"/>
    </row>
    <row r="25" spans="2:7" ht="30">
      <c r="B25" s="274" t="s">
        <v>66</v>
      </c>
      <c r="C25" s="274"/>
      <c r="D25" s="274"/>
      <c r="E25" s="274"/>
      <c r="F25" s="274"/>
      <c r="G25" s="274"/>
    </row>
    <row r="26" spans="2:7" ht="20.25">
      <c r="B26" s="4"/>
      <c r="C26" s="3"/>
      <c r="D26" s="3"/>
      <c r="E26" s="3"/>
      <c r="F26" s="3"/>
      <c r="G26" s="3"/>
    </row>
    <row r="27" spans="2:7" ht="20.25">
      <c r="B27" s="273" t="s">
        <v>65</v>
      </c>
      <c r="C27" s="273"/>
      <c r="D27" s="273"/>
      <c r="E27" s="273"/>
      <c r="F27" s="273"/>
      <c r="G27" s="273"/>
    </row>
  </sheetData>
  <sheetProtection password="CD3F" sheet="1" objects="1" scenarios="1"/>
  <mergeCells count="15">
    <mergeCell ref="G6:G7"/>
    <mergeCell ref="C6:C7"/>
    <mergeCell ref="D6:D7"/>
    <mergeCell ref="E6:E7"/>
    <mergeCell ref="F6:F7"/>
    <mergeCell ref="B27:G27"/>
    <mergeCell ref="B25:G25"/>
    <mergeCell ref="A1:A2"/>
    <mergeCell ref="B2:G2"/>
    <mergeCell ref="B4:C5"/>
    <mergeCell ref="D4:E5"/>
    <mergeCell ref="F4:G5"/>
    <mergeCell ref="B20:G20"/>
    <mergeCell ref="B22:G22"/>
    <mergeCell ref="B6:B7"/>
  </mergeCells>
  <conditionalFormatting sqref="B8:C18">
    <cfRule type="expression" priority="1" dxfId="3" stopIfTrue="1">
      <formula>(EVEN(ROW())=ROW())</formula>
    </cfRule>
  </conditionalFormatting>
  <conditionalFormatting sqref="D8:E18 F8:G14">
    <cfRule type="expression" priority="2" dxfId="3"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s>
  <printOptions/>
  <pageMargins left="0.75" right="0.75" top="1" bottom="1" header="0.4921259845" footer="0.4921259845"/>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B2:C6"/>
  <sheetViews>
    <sheetView showGridLines="0" showRowColHeaders="0" workbookViewId="0" topLeftCell="A1">
      <selection activeCell="C6" sqref="C6"/>
    </sheetView>
  </sheetViews>
  <sheetFormatPr defaultColWidth="11.00390625" defaultRowHeight="12.75"/>
  <cols>
    <col min="1" max="1" width="11.375" style="18" customWidth="1"/>
    <col min="2" max="2" width="48.375" style="20" customWidth="1"/>
    <col min="3" max="3" width="14.00390625" style="19" bestFit="1" customWidth="1"/>
    <col min="4" max="16384" width="11.375" style="18" customWidth="1"/>
  </cols>
  <sheetData>
    <row r="1" ht="45" thickBot="1"/>
    <row r="2" ht="24" thickBot="1">
      <c r="C2" s="24" t="s">
        <v>77</v>
      </c>
    </row>
    <row r="3" spans="2:3" ht="65.25" customHeight="1" thickBot="1">
      <c r="B3" s="21" t="s">
        <v>78</v>
      </c>
      <c r="C3" s="203">
        <v>298</v>
      </c>
    </row>
    <row r="4" spans="2:3" ht="65.25" customHeight="1" thickBot="1">
      <c r="B4" s="23" t="s">
        <v>74</v>
      </c>
      <c r="C4" s="203">
        <v>449</v>
      </c>
    </row>
    <row r="5" spans="2:3" ht="65.25" customHeight="1" thickBot="1">
      <c r="B5" s="23" t="s">
        <v>75</v>
      </c>
      <c r="C5" s="203">
        <v>717</v>
      </c>
    </row>
    <row r="6" spans="2:3" ht="65.25" customHeight="1" thickBot="1">
      <c r="B6" s="22" t="s">
        <v>76</v>
      </c>
      <c r="C6" s="204">
        <v>292</v>
      </c>
    </row>
  </sheetData>
  <sheetProtection password="CD3F" sheet="1" objects="1" scenarios="1"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2010-01-19T13:34:01Z</cp:lastPrinted>
  <dcterms:created xsi:type="dcterms:W3CDTF">2001-02-02T10:24:45Z</dcterms:created>
  <dcterms:modified xsi:type="dcterms:W3CDTF">2010-09-21T12:27:35Z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