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et taux" sheetId="5" r:id="rId5"/>
  </sheets>
  <definedNames>
    <definedName name="_xlnm.Print_Area" localSheetId="1">'Traitement'!$B$1:$I$45</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<sst xmlns="http://schemas.openxmlformats.org/spreadsheetml/2006/main" count="166" uniqueCount="140">
  <si>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</si>
  <si>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</si>
  <si>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</si>
  <si>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</si>
  <si>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</si>
  <si>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</si>
  <si>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</si>
  <si>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</si>
  <si>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</si>
  <si>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</si>
  <si>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</si>
  <si>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</si>
  <si>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</si>
  <si>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</si>
  <si>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</si>
  <si>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</si>
  <si>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</si>
  <si>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</si>
  <si>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</si>
  <si>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</si>
  <si>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</si>
  <si>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</si>
  <si>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</si>
  <si>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</si>
  <si>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</si>
  <si>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</si>
  <si>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</si>
  <si>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</si>
  <si>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</si>
  <si>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</si>
  <si>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</si>
  <si>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</si>
  <si>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</si>
  <si>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</si>
  <si>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</si>
  <si>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</si>
  <si>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</si>
  <si>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</si>
  <si>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</si>
  <si>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</si>
  <si>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</si>
  <si>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</si>
  <si>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</si>
  <si>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</si>
  <si>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</si>
  <si>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</si>
  <si>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</si>
  <si>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</si>
  <si>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</si>
  <si>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</si>
  <si>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</si>
  <si>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</si>
  <si>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</si>
  <si>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</si>
  <si>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NOM                      Prénom</t>
  </si>
  <si>
    <t>en Euros (€) par mois</t>
  </si>
  <si>
    <t>Echelon</t>
  </si>
  <si>
    <t>Indice</t>
  </si>
  <si>
    <t>Instituteurs</t>
  </si>
  <si>
    <t>PE</t>
  </si>
  <si>
    <t>Indices</t>
  </si>
  <si>
    <t>Indemnités</t>
  </si>
  <si>
    <t>Montant : cliquer ici</t>
  </si>
  <si>
    <t>Prestations familiales</t>
  </si>
  <si>
    <t>RETOUR</t>
  </si>
  <si>
    <t>Temps partiel (expl : 50 pour un mi-temps et 75 pour 75%)</t>
  </si>
  <si>
    <t>N.B. : les taux des prestations sociales sont sur la feuille de calcul suivante (cliquer sur l'onglet "taux prestations sociales")</t>
  </si>
  <si>
    <t>pour information</t>
  </si>
  <si>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</si>
  <si>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</si>
  <si>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</si>
  <si>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</si>
  <si>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</si>
  <si>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</si>
  <si>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</si>
  <si>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</si>
  <si>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</si>
  <si>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</si>
  <si>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Traitement brut annuel (base indice actuel)</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</si>
  <si>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</si>
  <si>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</si>
  <si>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</si>
  <si>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</si>
  <si>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</si>
  <si>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</si>
  <si>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</si>
  <si>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</si>
  <si>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</si>
  <si>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</si>
  <si>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</si>
  <si>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</si>
  <si>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</si>
  <si>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</si>
  <si>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</si>
  <si>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</si>
  <si>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</si>
  <si>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t>Renseigner uniquement les cases jaunes</t>
  </si>
  <si>
    <t>Majoration éventuelle de traitement (DOM)</t>
  </si>
  <si>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</si>
  <si>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</si>
  <si>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membre participant</t>
  </si>
  <si>
    <t>membre bénéficiaire</t>
  </si>
  <si>
    <t>cotisation plancher</t>
  </si>
  <si>
    <t>cotisation plafond</t>
  </si>
  <si>
    <t>Enfant de moins de 18 ans</t>
  </si>
  <si>
    <t>Enfant de plus de 18 ans</t>
  </si>
  <si>
    <r>
      <t xml:space="preserve">Taux MGEN  
</t>
    </r>
    <r>
      <rPr>
        <sz val="9"/>
        <rFont val="Geneva"/>
        <family val="0"/>
      </rPr>
      <t xml:space="preserve">(traitement brut + indemnité de résidence + primes et indemnités
</t>
    </r>
    <r>
      <rPr>
        <u val="single"/>
        <sz val="9"/>
        <rFont val="Geneva"/>
        <family val="0"/>
      </rPr>
      <t>sauf</t>
    </r>
    <r>
      <rPr>
        <sz val="9"/>
        <rFont val="Geneva"/>
        <family val="0"/>
      </rPr>
      <t xml:space="preserve"> IRL et indemnités enseignement)</t>
    </r>
    <r>
      <rPr>
        <b/>
        <sz val="12"/>
        <rFont val="Geneva"/>
        <family val="0"/>
      </rPr>
      <t xml:space="preserve"> </t>
    </r>
  </si>
  <si>
    <t>Enfant de moins
de 18 ans</t>
  </si>
  <si>
    <t>Enfant de plus
de 18 ans</t>
  </si>
  <si>
    <t>Nbre d'enfants de moins de 18 ans (prise en charge MGEN) :</t>
  </si>
  <si>
    <t>Nbre d'enfants de plus de 18 ans (prise en charge MGEN) :</t>
  </si>
  <si>
    <t>Conjoint (65% cotisation membre participant)</t>
  </si>
  <si>
    <t>SNUipp/FSU Calcul traitement</t>
  </si>
  <si>
    <t>Valeur brute indice annuel au</t>
  </si>
  <si>
    <t>valeur brute indice mensuel</t>
  </si>
  <si>
    <t>Cotisations supplémentaires pour conjoint
 et enfants bénéficiaires</t>
  </si>
  <si>
    <t>moins de 30 ans au 1er janvier</t>
  </si>
  <si>
    <t>plus de 30 ans au 1er janvier</t>
  </si>
  <si>
    <t>Aviez-vous moins de 30 ans au 1er janvier dernier ?</t>
  </si>
  <si>
    <t>Taux pension civile</t>
  </si>
  <si>
    <t>valeur point indiciaire depuis</t>
  </si>
  <si>
    <r>
      <rPr>
        <b/>
        <u val="single"/>
        <sz val="10"/>
        <rFont val="Arial"/>
        <family val="2"/>
      </rPr>
      <t>En cas de grève</t>
    </r>
    <r>
      <rPr>
        <b/>
        <sz val="10"/>
        <rFont val="Arial"/>
        <family val="2"/>
      </rPr>
      <t xml:space="preserve">, </t>
    </r>
    <r>
      <rPr>
        <sz val="10"/>
        <rFont val="Arial"/>
        <family val="2"/>
      </rPr>
      <t xml:space="preserve">indiquez le montant de retenue indiqué sur votre bulletin de paie (1/30 trait. brut + indemn. résidence du mois </t>
    </r>
    <r>
      <rPr>
        <b/>
        <sz val="10"/>
        <rFont val="Arial"/>
        <family val="2"/>
      </rPr>
      <t>concerné)</t>
    </r>
  </si>
  <si>
    <t>au 01/02/2012</t>
  </si>
  <si>
    <t>HC</t>
  </si>
  <si>
    <t>TAUX PLANCHER</t>
  </si>
  <si>
    <t>MOINS DE 30 ANS</t>
  </si>
  <si>
    <t>TAUX PLAFOND</t>
  </si>
  <si>
    <t>PLUS DE 30 ANS</t>
  </si>
  <si>
    <t>Taux CRDS</t>
  </si>
  <si>
    <t>Assiette CSG/CRDS</t>
  </si>
  <si>
    <r>
      <t xml:space="preserve">En cas de changement d'échelon en cours de mois, indiquez quel jour </t>
    </r>
    <r>
      <rPr>
        <b/>
        <sz val="8"/>
        <rFont val="Arial"/>
        <family val="2"/>
      </rPr>
      <t>(date de promotion)</t>
    </r>
  </si>
  <si>
    <t>Indice actuel (sans NBI, ni bonifications indiciaires)</t>
  </si>
  <si>
    <t>Bonifications</t>
  </si>
  <si>
    <t>Taux CSG Déductible</t>
  </si>
  <si>
    <r>
      <t xml:space="preserve">Taux CSG </t>
    </r>
    <r>
      <rPr>
        <b/>
        <u val="single"/>
        <sz val="14"/>
        <rFont val="Arial"/>
        <family val="2"/>
      </rPr>
      <t>non</t>
    </r>
    <r>
      <rPr>
        <sz val="14"/>
        <rFont val="Arial"/>
        <family val="2"/>
      </rPr>
      <t xml:space="preserve"> déductible</t>
    </r>
  </si>
  <si>
    <t>Précompte Service non fait (en cas de grève)</t>
  </si>
  <si>
    <r>
      <t xml:space="preserve">Indice précédent
</t>
    </r>
    <r>
      <rPr>
        <sz val="10"/>
        <color indexed="10"/>
        <rFont val="Arial"/>
        <family val="2"/>
      </rPr>
      <t>(</t>
    </r>
    <r>
      <rPr>
        <u val="single"/>
        <sz val="10"/>
        <color indexed="10"/>
        <rFont val="Arial"/>
        <family val="2"/>
      </rPr>
      <t>dont Bonifications indiciaires éventuelles</t>
    </r>
    <r>
      <rPr>
        <sz val="10"/>
        <color indexed="10"/>
        <rFont val="Arial"/>
        <family val="2"/>
      </rPr>
      <t>) :</t>
    </r>
  </si>
  <si>
    <t>pour info retraités 3,56%</t>
  </si>
  <si>
    <t xml:space="preserve">taux applicable au </t>
  </si>
  <si>
    <t>au 01/01/2013 (Décret n°2013-33 du 10 janvier 2013)</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</si>
</sst>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 numFmtId="204" formatCode="[$-40C]dddd\ d\ mmmm\ yyyy"/>
    <numFmt numFmtId="205" formatCode="&quot;depuis le &quot;dd/mm/yyyy"/>
    <numFmt numFmtId="206" formatCode="&quot;au &quot;dd/mm/yyyy"/>
    <numFmt numFmtId="207" formatCode="&quot;mise à jour &quot;dd/mm/yyyy"/>
    <numFmt numFmtId="208" formatCode="&quot;(&quot;0.00%&quot; pour les moins de 30 ans, soit 80%)&quot;"/>
    <numFmt numFmtId="209" formatCode="0.00&quot;%&quot;"/>
    <numFmt numFmtId="210" formatCode="_-* #,##0.00\ [$€-40C]_-;\-* #,##0.00\ [$€-40C]_-;_-* &quot;-&quot;??\ [$€-40C]_-;_-@_-"/>
    <numFmt numFmtId="211" formatCode="#,##0.00\ [$€-40C];\-#,##0.00\ [$€-40C]"/>
    <numFmt numFmtId="212" formatCode="#,##0\ [$€-40C];\-#,##0\ [$€-40C]"/>
  </numFmts>
  <fonts count="105">
    <font>
      <sz val="10"/>
      <name val="Geneva"/>
      <family val="0"/>
    </font>
    <font>
      <b/>
      <sz val="10"/>
      <name val="Geneva"/>
      <family val="0"/>
    </font>
    <font>
      <i/>
      <sz val="10"/>
      <name val="Geneva"/>
      <family val="0"/>
    </font>
    <font>
      <b/>
      <i/>
      <sz val="10"/>
      <name val="Geneva"/>
      <family val="0"/>
    </font>
    <font>
      <sz val="10"/>
      <name val="Times New Roman"/>
      <family val="1"/>
    </font>
    <font>
      <u val="single"/>
      <sz val="9.3"/>
      <color indexed="12"/>
      <name val="Geneva"/>
      <family val="0"/>
    </font>
    <font>
      <u val="single"/>
      <sz val="9.3"/>
      <color indexed="36"/>
      <name val="Geneva"/>
      <family val="0"/>
    </font>
    <font>
      <b/>
      <sz val="10"/>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b/>
      <i/>
      <u val="single"/>
      <sz val="24"/>
      <color indexed="12"/>
      <name val="Geneva"/>
      <family val="0"/>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i/>
      <sz val="14"/>
      <name val="Arial"/>
      <family val="2"/>
    </font>
    <font>
      <b/>
      <sz val="16"/>
      <name val="Arial"/>
      <family val="2"/>
    </font>
    <font>
      <sz val="12"/>
      <name val="Geneva"/>
      <family val="0"/>
    </font>
    <font>
      <i/>
      <sz val="12"/>
      <name val="Arial"/>
      <family val="2"/>
    </font>
    <font>
      <b/>
      <u val="single"/>
      <sz val="14"/>
      <color indexed="55"/>
      <name val="Arial"/>
      <family val="2"/>
    </font>
    <font>
      <b/>
      <sz val="16"/>
      <name val="Geneva"/>
      <family val="0"/>
    </font>
    <font>
      <b/>
      <sz val="14"/>
      <name val="Geneva"/>
      <family val="0"/>
    </font>
    <font>
      <b/>
      <sz val="12"/>
      <name val="Geneva"/>
      <family val="0"/>
    </font>
    <font>
      <i/>
      <u val="single"/>
      <sz val="10"/>
      <name val="Geneva"/>
      <family val="0"/>
    </font>
    <font>
      <b/>
      <i/>
      <sz val="16"/>
      <name val="Geneva"/>
      <family val="0"/>
    </font>
    <font>
      <sz val="9"/>
      <name val="Geneva"/>
      <family val="0"/>
    </font>
    <font>
      <u val="single"/>
      <sz val="9"/>
      <name val="Geneva"/>
      <family val="0"/>
    </font>
    <font>
      <b/>
      <sz val="18"/>
      <name val="Geneva"/>
      <family val="0"/>
    </font>
    <font>
      <b/>
      <i/>
      <sz val="14"/>
      <color indexed="18"/>
      <name val="Times New Roman"/>
      <family val="1"/>
    </font>
    <font>
      <b/>
      <i/>
      <sz val="14"/>
      <color indexed="12"/>
      <name val="Geneva"/>
      <family val="0"/>
    </font>
    <font>
      <sz val="10"/>
      <color indexed="12"/>
      <name val="Times New Roman"/>
      <family val="1"/>
    </font>
    <font>
      <sz val="10"/>
      <color indexed="22"/>
      <name val="Geneva"/>
      <family val="0"/>
    </font>
    <font>
      <i/>
      <sz val="18"/>
      <color indexed="12"/>
      <name val="Arial Black"/>
      <family val="2"/>
    </font>
    <font>
      <b/>
      <sz val="24"/>
      <color indexed="10"/>
      <name val="Arial"/>
      <family val="2"/>
    </font>
    <font>
      <b/>
      <sz val="24"/>
      <name val="Arial"/>
      <family val="2"/>
    </font>
    <font>
      <b/>
      <i/>
      <sz val="12"/>
      <name val="Arial"/>
      <family val="2"/>
    </font>
    <font>
      <b/>
      <sz val="7"/>
      <name val="Geneva"/>
      <family val="0"/>
    </font>
    <font>
      <b/>
      <sz val="8"/>
      <name val="Arial"/>
      <family val="2"/>
    </font>
    <font>
      <b/>
      <u val="single"/>
      <sz val="9.3"/>
      <color indexed="12"/>
      <name val="Geneva"/>
      <family val="0"/>
    </font>
    <font>
      <b/>
      <u val="single"/>
      <sz val="14"/>
      <name val="Arial"/>
      <family val="2"/>
    </font>
    <font>
      <sz val="10"/>
      <color indexed="10"/>
      <name val="Arial"/>
      <family val="2"/>
    </font>
    <font>
      <u val="single"/>
      <sz val="10"/>
      <color indexed="10"/>
      <name val="Arial"/>
      <family val="2"/>
    </font>
    <font>
      <i/>
      <sz val="20"/>
      <name val="Arial"/>
      <family val="2"/>
    </font>
    <font>
      <b/>
      <i/>
      <sz val="12"/>
      <name val="Geneva"/>
      <family val="0"/>
    </font>
    <font>
      <sz val="12"/>
      <color indexed="8"/>
      <name val="Arial"/>
      <family val="2"/>
    </font>
    <font>
      <sz val="12"/>
      <color indexed="9"/>
      <name val="Arial"/>
      <family val="2"/>
    </font>
    <font>
      <sz val="12"/>
      <color indexed="10"/>
      <name val="Arial"/>
      <family val="2"/>
    </font>
    <font>
      <sz val="12"/>
      <color indexed="62"/>
      <name val="Arial"/>
      <family val="2"/>
    </font>
    <font>
      <sz val="12"/>
      <color indexed="20"/>
      <name val="Arial"/>
      <family val="2"/>
    </font>
    <font>
      <sz val="12"/>
      <color indexed="19"/>
      <name val="Arial"/>
      <family val="2"/>
    </font>
    <font>
      <sz val="12"/>
      <color indexed="17"/>
      <name val="Arial"/>
      <family val="2"/>
    </font>
    <font>
      <b/>
      <sz val="12"/>
      <color indexed="63"/>
      <name val="Arial"/>
      <family val="2"/>
    </font>
    <font>
      <i/>
      <sz val="12"/>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2"/>
      <color indexed="8"/>
      <name val="Arial"/>
      <family val="2"/>
    </font>
    <font>
      <b/>
      <sz val="12"/>
      <color indexed="9"/>
      <name val="Arial"/>
      <family val="2"/>
    </font>
    <font>
      <sz val="12"/>
      <color theme="1"/>
      <name val="Arial"/>
      <family val="2"/>
    </font>
    <font>
      <sz val="12"/>
      <color theme="0"/>
      <name val="Arial"/>
      <family val="2"/>
    </font>
    <font>
      <sz val="12"/>
      <color rgb="FFFF0000"/>
      <name val="Arial"/>
      <family val="2"/>
    </font>
    <font>
      <b/>
      <sz val="12"/>
      <color rgb="FFFA7D00"/>
      <name val="Arial"/>
      <family val="2"/>
    </font>
    <font>
      <sz val="12"/>
      <color rgb="FFFA7D00"/>
      <name val="Arial"/>
      <family val="2"/>
    </font>
    <font>
      <sz val="12"/>
      <color rgb="FF3F3F76"/>
      <name val="Arial"/>
      <family val="2"/>
    </font>
    <font>
      <sz val="12"/>
      <color rgb="FF9C0006"/>
      <name val="Arial"/>
      <family val="2"/>
    </font>
    <font>
      <sz val="12"/>
      <color rgb="FF9C6500"/>
      <name val="Arial"/>
      <family val="2"/>
    </font>
    <font>
      <sz val="12"/>
      <color rgb="FF006100"/>
      <name val="Arial"/>
      <family val="2"/>
    </font>
    <font>
      <b/>
      <sz val="12"/>
      <color rgb="FF3F3F3F"/>
      <name val="Arial"/>
      <family val="2"/>
    </font>
    <font>
      <i/>
      <sz val="12"/>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2"/>
      <color theme="1"/>
      <name val="Arial"/>
      <family val="2"/>
    </font>
    <font>
      <b/>
      <sz val="12"/>
      <color theme="0"/>
      <name val="Arial"/>
      <family val="2"/>
    </font>
    <font>
      <b/>
      <sz val="24"/>
      <color rgb="FFFF0000"/>
      <name val="Arial"/>
      <family val="2"/>
    </font>
    <font>
      <b/>
      <sz val="8"/>
      <name val="Genev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darkGray">
        <fgColor indexed="9"/>
        <bgColor indexed="13"/>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5"/>
        <bgColor indexed="64"/>
      </patternFill>
    </fill>
    <fill>
      <patternFill patternType="solid">
        <fgColor indexed="42"/>
        <bgColor indexed="64"/>
      </patternFill>
    </fill>
    <fill>
      <patternFill patternType="solid">
        <fgColor indexed="21"/>
        <bgColor indexed="64"/>
      </patternFill>
    </fill>
    <fill>
      <patternFill patternType="solid">
        <fgColor theme="2" tint="-0.24997000396251678"/>
        <bgColor indexed="64"/>
      </patternFill>
    </fill>
    <fill>
      <patternFill patternType="solid">
        <fgColor theme="0" tint="-0.149959996342659"/>
        <bgColor indexed="64"/>
      </patternFill>
    </fill>
    <fill>
      <patternFill patternType="solid">
        <fgColor indexed="4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style="medium"/>
      <top style="medium"/>
      <bottom style="medium"/>
    </border>
    <border>
      <left>
        <color indexed="63"/>
      </left>
      <right style="thin"/>
      <top>
        <color indexed="63"/>
      </top>
      <bottom>
        <color indexed="63"/>
      </bottom>
    </border>
    <border>
      <left style="thin"/>
      <right style="thin"/>
      <top style="thin"/>
      <bottom style="thin"/>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style="medium"/>
    </border>
    <border>
      <left style="medium">
        <color indexed="10"/>
      </left>
      <right style="medium">
        <color indexed="10"/>
      </right>
      <top style="medium">
        <color indexed="10"/>
      </top>
      <bottom>
        <color indexed="63"/>
      </bottom>
    </border>
    <border>
      <left>
        <color indexed="63"/>
      </left>
      <right style="medium"/>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style="double"/>
      <top>
        <color indexed="63"/>
      </top>
      <bottom>
        <color indexed="63"/>
      </bottom>
    </border>
    <border>
      <left style="double"/>
      <right style="medium"/>
      <top>
        <color indexed="63"/>
      </top>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style="medium">
        <color indexed="10"/>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medium"/>
      <bottom style="medium"/>
    </border>
    <border>
      <left style="medium"/>
      <right style="medium"/>
      <top>
        <color indexed="63"/>
      </top>
      <bottom>
        <color indexed="63"/>
      </bottom>
    </border>
    <border>
      <left style="thin"/>
      <right>
        <color indexed="63"/>
      </right>
      <top>
        <color indexed="63"/>
      </top>
      <bottom>
        <color indexed="63"/>
      </bottom>
    </border>
    <border>
      <left style="medium"/>
      <right style="double"/>
      <top style="medium"/>
      <bottom style="thin"/>
    </border>
    <border>
      <left style="medium"/>
      <right style="double"/>
      <top style="thin"/>
      <bottom style="double"/>
    </border>
    <border>
      <left style="double"/>
      <right style="medium"/>
      <top style="medium"/>
      <bottom style="thin"/>
    </border>
    <border>
      <left style="double"/>
      <right style="medium"/>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0" borderId="2" applyNumberFormat="0" applyFill="0" applyAlignment="0" applyProtection="0"/>
    <xf numFmtId="0" fontId="0" fillId="27" borderId="3" applyNumberFormat="0" applyFont="0" applyAlignment="0" applyProtection="0"/>
    <xf numFmtId="0" fontId="91" fillId="28" borderId="1" applyNumberFormat="0" applyAlignment="0" applyProtection="0"/>
    <xf numFmtId="175" fontId="0" fillId="0" borderId="0" applyFont="0" applyFill="0" applyBorder="0" applyAlignment="0" applyProtection="0"/>
    <xf numFmtId="0" fontId="92"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93" fillId="30" borderId="0" applyNumberFormat="0" applyBorder="0" applyAlignment="0" applyProtection="0"/>
    <xf numFmtId="0" fontId="52" fillId="0" borderId="0">
      <alignment/>
      <protection/>
    </xf>
    <xf numFmtId="9" fontId="0" fillId="0" borderId="0" applyFont="0" applyFill="0" applyBorder="0" applyAlignment="0" applyProtection="0"/>
    <xf numFmtId="0" fontId="94" fillId="31" borderId="0" applyNumberFormat="0" applyBorder="0" applyAlignment="0" applyProtection="0"/>
    <xf numFmtId="0" fontId="95" fillId="26" borderId="4"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2" borderId="9" applyNumberFormat="0" applyAlignment="0" applyProtection="0"/>
  </cellStyleXfs>
  <cellXfs count="329">
    <xf numFmtId="0" fontId="0" fillId="0" borderId="0" xfId="0" applyAlignment="1">
      <alignment/>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left" vertical="center" indent="1"/>
    </xf>
    <xf numFmtId="0" fontId="20" fillId="33" borderId="10" xfId="0" applyFont="1" applyFill="1" applyBorder="1" applyAlignment="1">
      <alignment horizontal="left" vertical="center" indent="1"/>
    </xf>
    <xf numFmtId="0" fontId="17" fillId="0" borderId="11" xfId="0" applyFont="1" applyBorder="1" applyAlignment="1">
      <alignment horizontal="center" vertical="center"/>
    </xf>
    <xf numFmtId="0" fontId="15" fillId="0" borderId="0" xfId="0" applyFont="1" applyFill="1" applyAlignment="1" applyProtection="1">
      <alignment horizontal="center" vertical="center"/>
      <protection/>
    </xf>
    <xf numFmtId="0" fontId="15" fillId="0" borderId="0" xfId="0" applyFont="1" applyFill="1" applyAlignment="1" applyProtection="1">
      <alignment vertical="center"/>
      <protection/>
    </xf>
    <xf numFmtId="2" fontId="15"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49" fontId="25" fillId="0" borderId="12" xfId="0" applyNumberFormat="1" applyFont="1" applyFill="1" applyBorder="1" applyAlignment="1" applyProtection="1">
      <alignment horizontal="right" vertical="center"/>
      <protection/>
    </xf>
    <xf numFmtId="14" fontId="26" fillId="34" borderId="13" xfId="0" applyNumberFormat="1" applyFont="1" applyFill="1" applyBorder="1" applyAlignment="1" applyProtection="1">
      <alignment horizontal="center" vertical="center"/>
      <protection locked="0"/>
    </xf>
    <xf numFmtId="179" fontId="15" fillId="35" borderId="13"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xf>
    <xf numFmtId="0" fontId="27" fillId="0" borderId="0" xfId="0" applyFont="1" applyFill="1" applyBorder="1" applyAlignment="1" applyProtection="1">
      <alignment horizontal="left" indent="3"/>
      <protection/>
    </xf>
    <xf numFmtId="0" fontId="27" fillId="0" borderId="0" xfId="0" applyFont="1" applyFill="1" applyAlignment="1" applyProtection="1">
      <alignment vertical="center"/>
      <protection/>
    </xf>
    <xf numFmtId="173" fontId="28" fillId="0" borderId="0" xfId="0" applyNumberFormat="1" applyFont="1" applyFill="1" applyAlignment="1" applyProtection="1">
      <alignment horizontal="right" vertical="center"/>
      <protection/>
    </xf>
    <xf numFmtId="180" fontId="28" fillId="0" borderId="0" xfId="0" applyNumberFormat="1" applyFont="1" applyFill="1" applyAlignment="1" applyProtection="1">
      <alignment horizontal="center" vertical="center"/>
      <protection/>
    </xf>
    <xf numFmtId="0" fontId="30" fillId="36" borderId="11" xfId="0" applyFont="1" applyFill="1" applyBorder="1" applyAlignment="1" applyProtection="1">
      <alignment horizontal="center" vertical="center"/>
      <protection locked="0"/>
    </xf>
    <xf numFmtId="0" fontId="31" fillId="36" borderId="14" xfId="0" applyNumberFormat="1" applyFont="1" applyFill="1" applyBorder="1" applyAlignment="1" applyProtection="1">
      <alignment horizontal="center" vertical="center"/>
      <protection locked="0"/>
    </xf>
    <xf numFmtId="14" fontId="27" fillId="36" borderId="0" xfId="0" applyNumberFormat="1" applyFont="1" applyFill="1" applyBorder="1" applyAlignment="1" applyProtection="1">
      <alignment vertical="top"/>
      <protection/>
    </xf>
    <xf numFmtId="14" fontId="27" fillId="36" borderId="0" xfId="0" applyNumberFormat="1" applyFont="1" applyFill="1" applyBorder="1" applyAlignment="1" applyProtection="1">
      <alignment horizontal="left" vertical="top"/>
      <protection/>
    </xf>
    <xf numFmtId="14" fontId="27" fillId="0" borderId="0" xfId="0" applyNumberFormat="1" applyFont="1" applyFill="1" applyBorder="1" applyAlignment="1" applyProtection="1">
      <alignment vertical="top"/>
      <protection/>
    </xf>
    <xf numFmtId="0" fontId="15" fillId="0" borderId="0" xfId="0" applyFont="1" applyBorder="1" applyAlignment="1" applyProtection="1">
      <alignment/>
      <protection/>
    </xf>
    <xf numFmtId="0" fontId="15" fillId="0" borderId="0" xfId="0" applyFont="1" applyBorder="1" applyAlignment="1" applyProtection="1">
      <alignment horizontal="right" indent="1"/>
      <protection/>
    </xf>
    <xf numFmtId="0" fontId="36" fillId="0" borderId="0" xfId="0" applyFont="1" applyBorder="1" applyAlignment="1" applyProtection="1">
      <alignment horizontal="right" indent="1"/>
      <protection/>
    </xf>
    <xf numFmtId="0" fontId="15" fillId="0" borderId="0" xfId="0" applyFont="1" applyAlignment="1" applyProtection="1">
      <alignment/>
      <protection/>
    </xf>
    <xf numFmtId="0" fontId="15" fillId="0" borderId="0" xfId="0" applyFont="1" applyFill="1" applyAlignment="1" applyProtection="1">
      <alignment/>
      <protection/>
    </xf>
    <xf numFmtId="2" fontId="15" fillId="0" borderId="0" xfId="0" applyNumberFormat="1" applyFont="1" applyFill="1" applyAlignment="1" applyProtection="1">
      <alignment/>
      <protection/>
    </xf>
    <xf numFmtId="0" fontId="28" fillId="0" borderId="0" xfId="0" applyFont="1" applyFill="1" applyAlignment="1" applyProtection="1">
      <alignment vertical="center"/>
      <protection/>
    </xf>
    <xf numFmtId="0" fontId="15" fillId="0" borderId="0" xfId="0" applyFont="1" applyFill="1" applyBorder="1" applyAlignment="1" applyProtection="1">
      <alignment horizontal="center"/>
      <protection/>
    </xf>
    <xf numFmtId="0" fontId="26" fillId="0" borderId="0" xfId="0" applyFont="1" applyFill="1" applyBorder="1" applyAlignment="1" applyProtection="1">
      <alignment horizontal="center" vertical="center"/>
      <protection/>
    </xf>
    <xf numFmtId="0" fontId="37" fillId="37" borderId="0" xfId="0" applyFont="1" applyFill="1" applyAlignment="1" applyProtection="1">
      <alignment vertical="center"/>
      <protection/>
    </xf>
    <xf numFmtId="0" fontId="37" fillId="37" borderId="0" xfId="0" applyFont="1" applyFill="1" applyAlignment="1" applyProtection="1">
      <alignment horizontal="right" vertical="center" indent="1"/>
      <protection/>
    </xf>
    <xf numFmtId="0" fontId="26" fillId="0" borderId="0" xfId="0" applyFont="1" applyFill="1" applyAlignment="1" applyProtection="1">
      <alignment vertical="center"/>
      <protection/>
    </xf>
    <xf numFmtId="170" fontId="26" fillId="0" borderId="0" xfId="0" applyNumberFormat="1" applyFont="1" applyFill="1" applyAlignment="1" applyProtection="1">
      <alignment horizontal="right" vertical="center"/>
      <protection/>
    </xf>
    <xf numFmtId="0" fontId="40" fillId="0" borderId="0" xfId="0" applyFont="1" applyFill="1" applyAlignment="1" applyProtection="1">
      <alignment horizontal="left" vertical="center"/>
      <protection/>
    </xf>
    <xf numFmtId="0" fontId="40" fillId="0" borderId="0" xfId="0" applyFont="1" applyFill="1" applyAlignment="1" applyProtection="1">
      <alignment horizontal="center" vertical="center"/>
      <protection/>
    </xf>
    <xf numFmtId="170" fontId="40" fillId="0" borderId="0" xfId="0" applyNumberFormat="1" applyFont="1" applyFill="1" applyAlignment="1" applyProtection="1">
      <alignment horizontal="center" vertical="center"/>
      <protection/>
    </xf>
    <xf numFmtId="0" fontId="28" fillId="0" borderId="0" xfId="0" applyFont="1" applyFill="1" applyAlignment="1" applyProtection="1">
      <alignment horizontal="right" vertical="center"/>
      <protection/>
    </xf>
    <xf numFmtId="169" fontId="15" fillId="0" borderId="0" xfId="0" applyNumberFormat="1" applyFont="1" applyFill="1" applyAlignment="1" applyProtection="1">
      <alignment horizontal="left" vertical="center"/>
      <protection/>
    </xf>
    <xf numFmtId="175" fontId="15" fillId="0" borderId="0" xfId="44" applyFont="1" applyFill="1" applyAlignment="1" applyProtection="1">
      <alignment horizontal="right" vertical="center"/>
      <protection/>
    </xf>
    <xf numFmtId="170" fontId="15" fillId="0" borderId="0" xfId="0" applyNumberFormat="1" applyFont="1" applyFill="1" applyAlignment="1" applyProtection="1">
      <alignment horizontal="right" vertical="center"/>
      <protection/>
    </xf>
    <xf numFmtId="169" fontId="26" fillId="0" borderId="0" xfId="0" applyNumberFormat="1" applyFont="1" applyFill="1" applyAlignment="1" applyProtection="1">
      <alignment horizontal="left" vertical="center"/>
      <protection/>
    </xf>
    <xf numFmtId="0" fontId="15" fillId="0" borderId="0" xfId="0" applyFont="1" applyFill="1" applyAlignment="1" applyProtection="1">
      <alignment/>
      <protection/>
    </xf>
    <xf numFmtId="177" fontId="41" fillId="0" borderId="0" xfId="44" applyNumberFormat="1" applyFont="1" applyFill="1" applyAlignment="1" applyProtection="1">
      <alignment horizontal="left" vertical="center"/>
      <protection/>
    </xf>
    <xf numFmtId="170" fontId="15" fillId="0" borderId="0" xfId="0" applyNumberFormat="1" applyFont="1" applyFill="1" applyBorder="1" applyAlignment="1" applyProtection="1">
      <alignment horizontal="right" vertical="center"/>
      <protection/>
    </xf>
    <xf numFmtId="0" fontId="35" fillId="0" borderId="0" xfId="0" applyFont="1" applyFill="1" applyAlignment="1" applyProtection="1">
      <alignment vertical="center"/>
      <protection/>
    </xf>
    <xf numFmtId="2" fontId="35" fillId="0" borderId="0" xfId="0" applyNumberFormat="1" applyFont="1" applyFill="1" applyAlignment="1" applyProtection="1">
      <alignment vertical="center"/>
      <protection/>
    </xf>
    <xf numFmtId="0" fontId="15" fillId="0" borderId="0" xfId="0" applyFont="1" applyAlignment="1" applyProtection="1">
      <alignment vertical="center"/>
      <protection/>
    </xf>
    <xf numFmtId="0" fontId="40" fillId="35" borderId="0" xfId="0" applyFont="1" applyFill="1" applyAlignment="1" applyProtection="1">
      <alignment vertical="center"/>
      <protection/>
    </xf>
    <xf numFmtId="169" fontId="35" fillId="35" borderId="0" xfId="0" applyNumberFormat="1" applyFont="1" applyFill="1" applyAlignment="1" applyProtection="1">
      <alignment horizontal="left" vertical="center"/>
      <protection/>
    </xf>
    <xf numFmtId="170" fontId="23" fillId="35" borderId="13" xfId="0" applyNumberFormat="1" applyFont="1" applyFill="1" applyBorder="1" applyAlignment="1" applyProtection="1">
      <alignment horizontal="right" vertical="center"/>
      <protection/>
    </xf>
    <xf numFmtId="172" fontId="28" fillId="0" borderId="0" xfId="0" applyNumberFormat="1" applyFont="1" applyFill="1" applyAlignment="1" applyProtection="1">
      <alignment horizontal="right" vertical="center"/>
      <protection/>
    </xf>
    <xf numFmtId="40" fontId="28" fillId="0" borderId="0" xfId="44" applyNumberFormat="1" applyFont="1" applyFill="1" applyBorder="1" applyAlignment="1" applyProtection="1">
      <alignment horizontal="center" vertical="center"/>
      <protection/>
    </xf>
    <xf numFmtId="2" fontId="15" fillId="0" borderId="15" xfId="44"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wrapText="1"/>
      <protection/>
    </xf>
    <xf numFmtId="2" fontId="15" fillId="0" borderId="0" xfId="0" applyNumberFormat="1" applyFont="1" applyFill="1" applyBorder="1" applyAlignment="1" applyProtection="1">
      <alignment horizontal="left" vertical="center" wrapText="1"/>
      <protection/>
    </xf>
    <xf numFmtId="169" fontId="15" fillId="0" borderId="0" xfId="0" applyNumberFormat="1" applyFont="1" applyFill="1" applyBorder="1" applyAlignment="1" applyProtection="1">
      <alignment horizontal="left" vertical="center"/>
      <protection/>
    </xf>
    <xf numFmtId="0" fontId="19" fillId="0" borderId="0" xfId="0" applyFont="1" applyFill="1" applyAlignment="1" applyProtection="1">
      <alignment vertical="center"/>
      <protection/>
    </xf>
    <xf numFmtId="169" fontId="19" fillId="35" borderId="0" xfId="0" applyNumberFormat="1" applyFont="1" applyFill="1" applyAlignment="1" applyProtection="1">
      <alignment horizontal="left" vertical="center"/>
      <protection/>
    </xf>
    <xf numFmtId="2" fontId="19" fillId="0" borderId="0" xfId="0" applyNumberFormat="1" applyFont="1" applyFill="1" applyAlignment="1" applyProtection="1">
      <alignment vertical="center"/>
      <protection/>
    </xf>
    <xf numFmtId="0" fontId="30" fillId="35" borderId="0" xfId="0" applyFont="1" applyFill="1" applyAlignment="1" applyProtection="1">
      <alignment vertical="center"/>
      <protection/>
    </xf>
    <xf numFmtId="0" fontId="40" fillId="0" borderId="0" xfId="0" applyFont="1" applyFill="1" applyAlignment="1" applyProtection="1">
      <alignment vertical="center"/>
      <protection/>
    </xf>
    <xf numFmtId="170" fontId="28" fillId="0" borderId="0" xfId="0" applyNumberFormat="1" applyFont="1" applyFill="1" applyAlignment="1" applyProtection="1">
      <alignment horizontal="right" vertical="center"/>
      <protection/>
    </xf>
    <xf numFmtId="174" fontId="28" fillId="0" borderId="0" xfId="0" applyNumberFormat="1" applyFont="1" applyFill="1" applyAlignment="1" applyProtection="1">
      <alignment horizontal="center" vertical="center"/>
      <protection/>
    </xf>
    <xf numFmtId="174" fontId="28" fillId="0" borderId="0" xfId="0" applyNumberFormat="1" applyFont="1" applyFill="1" applyAlignment="1" applyProtection="1">
      <alignment vertical="center"/>
      <protection/>
    </xf>
    <xf numFmtId="0" fontId="15" fillId="0" borderId="0" xfId="0" applyFont="1" applyFill="1" applyAlignment="1" applyProtection="1">
      <alignment vertical="top"/>
      <protection/>
    </xf>
    <xf numFmtId="0" fontId="26" fillId="0" borderId="16" xfId="0" applyFont="1" applyFill="1" applyBorder="1" applyAlignment="1" applyProtection="1">
      <alignment horizontal="left" indent="1"/>
      <protection/>
    </xf>
    <xf numFmtId="0" fontId="15" fillId="0" borderId="17" xfId="0" applyFont="1" applyFill="1" applyBorder="1" applyAlignment="1" applyProtection="1">
      <alignment/>
      <protection/>
    </xf>
    <xf numFmtId="2" fontId="15" fillId="0" borderId="0" xfId="0" applyNumberFormat="1" applyFont="1" applyFill="1" applyAlignment="1" applyProtection="1">
      <alignment vertical="top"/>
      <protection/>
    </xf>
    <xf numFmtId="0" fontId="15" fillId="0" borderId="18" xfId="0" applyFont="1" applyFill="1" applyBorder="1" applyAlignment="1" applyProtection="1">
      <alignment horizontal="left" vertical="top" indent="1"/>
      <protection/>
    </xf>
    <xf numFmtId="0" fontId="15" fillId="0" borderId="19" xfId="0" applyFont="1" applyFill="1" applyBorder="1" applyAlignment="1" applyProtection="1">
      <alignment horizontal="left" vertical="top"/>
      <protection/>
    </xf>
    <xf numFmtId="181" fontId="43" fillId="0" borderId="13" xfId="44" applyNumberFormat="1" applyFont="1" applyFill="1" applyBorder="1" applyAlignment="1" applyProtection="1">
      <alignment horizontal="center" vertical="center"/>
      <protection/>
    </xf>
    <xf numFmtId="0" fontId="28" fillId="0" borderId="0" xfId="0" applyFont="1" applyFill="1" applyAlignment="1" applyProtection="1">
      <alignment vertical="top"/>
      <protection/>
    </xf>
    <xf numFmtId="171" fontId="32" fillId="0" borderId="0" xfId="0" applyNumberFormat="1" applyFont="1" applyFill="1" applyBorder="1" applyAlignment="1" applyProtection="1">
      <alignment horizontal="right" vertical="center"/>
      <protection/>
    </xf>
    <xf numFmtId="171" fontId="26" fillId="0" borderId="0" xfId="0" applyNumberFormat="1" applyFont="1" applyFill="1" applyBorder="1" applyAlignment="1" applyProtection="1">
      <alignment horizontal="right" vertical="center"/>
      <protection/>
    </xf>
    <xf numFmtId="0" fontId="15" fillId="0" borderId="0" xfId="0" applyFont="1" applyFill="1" applyBorder="1" applyAlignment="1" applyProtection="1">
      <alignment/>
      <protection/>
    </xf>
    <xf numFmtId="171" fontId="15" fillId="0" borderId="0" xfId="0" applyNumberFormat="1"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shrinkToFit="1"/>
      <protection/>
    </xf>
    <xf numFmtId="170" fontId="33" fillId="0" borderId="0" xfId="0" applyNumberFormat="1" applyFont="1" applyFill="1" applyBorder="1" applyAlignment="1" applyProtection="1">
      <alignment vertical="center"/>
      <protection/>
    </xf>
    <xf numFmtId="171" fontId="15" fillId="0" borderId="0" xfId="0" applyNumberFormat="1" applyFont="1" applyFill="1" applyBorder="1" applyAlignment="1" applyProtection="1">
      <alignment horizontal="right" vertical="center" indent="1"/>
      <protection/>
    </xf>
    <xf numFmtId="171" fontId="37" fillId="0" borderId="0" xfId="0" applyNumberFormat="1" applyFont="1" applyFill="1" applyBorder="1" applyAlignment="1" applyProtection="1">
      <alignment horizontal="right" vertical="center" indent="1"/>
      <protection/>
    </xf>
    <xf numFmtId="1" fontId="37" fillId="0" borderId="20" xfId="0" applyNumberFormat="1" applyFont="1" applyFill="1" applyBorder="1" applyAlignment="1" applyProtection="1">
      <alignment horizontal="center" vertical="center"/>
      <protection/>
    </xf>
    <xf numFmtId="171" fontId="38" fillId="0" borderId="0" xfId="0" applyNumberFormat="1" applyFont="1" applyFill="1" applyBorder="1" applyAlignment="1" applyProtection="1">
      <alignment horizontal="right" vertical="center"/>
      <protection/>
    </xf>
    <xf numFmtId="171" fontId="26" fillId="0" borderId="0" xfId="0" applyNumberFormat="1" applyFont="1" applyFill="1" applyBorder="1" applyAlignment="1" applyProtection="1">
      <alignment horizontal="right" vertical="center" indent="1"/>
      <protection/>
    </xf>
    <xf numFmtId="0" fontId="26" fillId="34" borderId="11" xfId="0" applyFont="1" applyFill="1" applyBorder="1" applyAlignment="1" applyProtection="1">
      <alignment horizontal="center" vertical="center"/>
      <protection locked="0"/>
    </xf>
    <xf numFmtId="0" fontId="26" fillId="34" borderId="11" xfId="0" applyNumberFormat="1" applyFont="1" applyFill="1" applyBorder="1" applyAlignment="1" applyProtection="1">
      <alignment horizontal="center" vertical="center" shrinkToFit="1"/>
      <protection locked="0"/>
    </xf>
    <xf numFmtId="170" fontId="26" fillId="34" borderId="11" xfId="0" applyNumberFormat="1" applyFont="1" applyFill="1" applyBorder="1" applyAlignment="1" applyProtection="1">
      <alignment horizontal="center" vertical="center"/>
      <protection locked="0"/>
    </xf>
    <xf numFmtId="170" fontId="26" fillId="34" borderId="21" xfId="0" applyNumberFormat="1" applyFont="1" applyFill="1" applyBorder="1" applyAlignment="1" applyProtection="1">
      <alignment horizontal="center" vertical="center"/>
      <protection locked="0"/>
    </xf>
    <xf numFmtId="170" fontId="26" fillId="34" borderId="11" xfId="0" applyNumberFormat="1" applyFont="1" applyFill="1" applyBorder="1" applyAlignment="1" applyProtection="1">
      <alignment horizontal="center" vertical="top"/>
      <protection locked="0"/>
    </xf>
    <xf numFmtId="0" fontId="15" fillId="36" borderId="0" xfId="0" applyFont="1" applyFill="1" applyBorder="1" applyAlignment="1" applyProtection="1">
      <alignment vertical="center"/>
      <protection/>
    </xf>
    <xf numFmtId="0" fontId="15" fillId="0" borderId="0" xfId="0" applyFont="1" applyFill="1" applyBorder="1" applyAlignment="1" applyProtection="1">
      <alignment/>
      <protection/>
    </xf>
    <xf numFmtId="0" fontId="44" fillId="0" borderId="0" xfId="0" applyFont="1" applyAlignment="1">
      <alignment/>
    </xf>
    <xf numFmtId="0" fontId="35" fillId="0" borderId="0" xfId="0" applyFont="1" applyFill="1" applyAlignment="1" applyProtection="1">
      <alignment/>
      <protection/>
    </xf>
    <xf numFmtId="0" fontId="45" fillId="0" borderId="0" xfId="0" applyFont="1" applyFill="1" applyAlignment="1" applyProtection="1">
      <alignment vertical="center"/>
      <protection/>
    </xf>
    <xf numFmtId="0" fontId="35" fillId="0" borderId="0" xfId="0" applyFont="1" applyFill="1" applyBorder="1" applyAlignment="1" applyProtection="1">
      <alignment horizontal="center"/>
      <protection/>
    </xf>
    <xf numFmtId="0" fontId="27" fillId="36" borderId="0" xfId="0" applyFont="1" applyFill="1" applyBorder="1" applyAlignment="1" applyProtection="1">
      <alignment vertical="center"/>
      <protection/>
    </xf>
    <xf numFmtId="173" fontId="28" fillId="36" borderId="0" xfId="0" applyNumberFormat="1" applyFont="1" applyFill="1" applyBorder="1" applyAlignment="1" applyProtection="1">
      <alignment horizontal="right" vertical="center"/>
      <protection/>
    </xf>
    <xf numFmtId="180" fontId="28" fillId="36" borderId="0" xfId="0" applyNumberFormat="1" applyFont="1" applyFill="1" applyBorder="1" applyAlignment="1" applyProtection="1">
      <alignment horizontal="center" vertical="center"/>
      <protection/>
    </xf>
    <xf numFmtId="0" fontId="27" fillId="36" borderId="0" xfId="0" applyFont="1" applyFill="1" applyBorder="1" applyAlignment="1" applyProtection="1">
      <alignment horizontal="right" vertical="center" indent="1"/>
      <protection/>
    </xf>
    <xf numFmtId="0" fontId="15" fillId="0" borderId="0" xfId="0" applyFont="1" applyFill="1" applyBorder="1" applyAlignment="1" applyProtection="1">
      <alignment horizontal="right" indent="1"/>
      <protection/>
    </xf>
    <xf numFmtId="0" fontId="36" fillId="0" borderId="0" xfId="0" applyFont="1" applyFill="1" applyBorder="1" applyAlignment="1" applyProtection="1">
      <alignment horizontal="right" indent="1"/>
      <protection/>
    </xf>
    <xf numFmtId="1" fontId="26" fillId="0" borderId="0" xfId="0" applyNumberFormat="1" applyFont="1" applyFill="1" applyBorder="1" applyAlignment="1" applyProtection="1">
      <alignment horizontal="center" vertical="center" shrinkToFit="1"/>
      <protection locked="0"/>
    </xf>
    <xf numFmtId="171" fontId="15" fillId="0" borderId="0" xfId="0" applyNumberFormat="1" applyFont="1" applyFill="1" applyBorder="1" applyAlignment="1" applyProtection="1">
      <alignment horizontal="right" vertical="center" wrapText="1" indent="2"/>
      <protection/>
    </xf>
    <xf numFmtId="0" fontId="26" fillId="0" borderId="0" xfId="0" applyNumberFormat="1" applyFont="1" applyFill="1" applyBorder="1" applyAlignment="1" applyProtection="1">
      <alignment horizontal="center" vertical="center" shrinkToFit="1"/>
      <protection/>
    </xf>
    <xf numFmtId="0" fontId="44" fillId="0" borderId="0" xfId="0" applyFont="1" applyFill="1" applyBorder="1" applyAlignment="1">
      <alignment/>
    </xf>
    <xf numFmtId="0" fontId="31" fillId="34" borderId="22" xfId="0" applyNumberFormat="1" applyFont="1" applyFill="1" applyBorder="1" applyAlignment="1" applyProtection="1">
      <alignment horizontal="center" vertical="center"/>
      <protection locked="0"/>
    </xf>
    <xf numFmtId="1" fontId="26" fillId="34" borderId="11" xfId="0" applyNumberFormat="1" applyFont="1" applyFill="1" applyBorder="1" applyAlignment="1" applyProtection="1">
      <alignment horizontal="center" vertical="center"/>
      <protection locked="0"/>
    </xf>
    <xf numFmtId="170" fontId="26" fillId="0" borderId="0" xfId="0" applyNumberFormat="1" applyFont="1" applyFill="1" applyBorder="1" applyAlignment="1" applyProtection="1">
      <alignment horizontal="center" vertical="center"/>
      <protection/>
    </xf>
    <xf numFmtId="2" fontId="15" fillId="36" borderId="0" xfId="0" applyNumberFormat="1" applyFont="1" applyFill="1" applyAlignment="1" applyProtection="1">
      <alignment vertical="center"/>
      <protection/>
    </xf>
    <xf numFmtId="0" fontId="1" fillId="0" borderId="0" xfId="0" applyFont="1" applyBorder="1" applyAlignment="1">
      <alignment vertical="center" wrapText="1"/>
    </xf>
    <xf numFmtId="180" fontId="1" fillId="34" borderId="13" xfId="44" applyNumberFormat="1" applyFont="1" applyFill="1" applyBorder="1" applyAlignment="1">
      <alignment horizontal="center" vertical="center"/>
    </xf>
    <xf numFmtId="180" fontId="1" fillId="0" borderId="0" xfId="44" applyNumberFormat="1" applyFont="1" applyFill="1" applyBorder="1" applyAlignment="1">
      <alignment horizontal="center" vertical="center"/>
    </xf>
    <xf numFmtId="0" fontId="1" fillId="0" borderId="0" xfId="0" applyFont="1" applyBorder="1" applyAlignment="1">
      <alignment vertical="center" textRotation="90"/>
    </xf>
    <xf numFmtId="0" fontId="0" fillId="0" borderId="0" xfId="0" applyFont="1" applyAlignment="1">
      <alignment/>
    </xf>
    <xf numFmtId="164" fontId="0" fillId="0" borderId="0" xfId="0" applyNumberFormat="1" applyFont="1" applyAlignment="1">
      <alignment horizontal="center"/>
    </xf>
    <xf numFmtId="14" fontId="48" fillId="34" borderId="13" xfId="0" applyNumberFormat="1" applyFont="1" applyFill="1" applyBorder="1" applyAlignment="1" applyProtection="1">
      <alignment horizontal="center" vertical="center"/>
      <protection locked="0"/>
    </xf>
    <xf numFmtId="0" fontId="0" fillId="0" borderId="0" xfId="0" applyFont="1" applyAlignment="1">
      <alignment vertical="center"/>
    </xf>
    <xf numFmtId="0" fontId="49" fillId="0" borderId="0" xfId="0" applyFont="1" applyAlignment="1" applyProtection="1">
      <alignment vertical="center"/>
      <protection locked="0"/>
    </xf>
    <xf numFmtId="16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Fill="1" applyAlignment="1" applyProtection="1">
      <alignment vertical="center"/>
      <protection/>
    </xf>
    <xf numFmtId="0" fontId="50" fillId="0" borderId="0" xfId="0" applyFont="1" applyFill="1" applyAlignment="1" applyProtection="1">
      <alignment vertical="center"/>
      <protection/>
    </xf>
    <xf numFmtId="0" fontId="0" fillId="0" borderId="0" xfId="0" applyFont="1" applyFill="1" applyAlignment="1" applyProtection="1">
      <alignment vertical="center"/>
      <protection/>
    </xf>
    <xf numFmtId="168" fontId="1" fillId="38" borderId="10" xfId="0" applyNumberFormat="1" applyFont="1" applyFill="1" applyBorder="1" applyAlignment="1" applyProtection="1">
      <alignment horizontal="left" vertical="center"/>
      <protection/>
    </xf>
    <xf numFmtId="168" fontId="1" fillId="38" borderId="23" xfId="0" applyNumberFormat="1" applyFont="1" applyFill="1" applyBorder="1" applyAlignment="1" applyProtection="1">
      <alignment horizontal="left" vertical="center"/>
      <protection/>
    </xf>
    <xf numFmtId="164" fontId="3" fillId="38" borderId="10" xfId="0" applyNumberFormat="1" applyFont="1" applyFill="1" applyBorder="1" applyAlignment="1" applyProtection="1">
      <alignment horizontal="center" vertical="center"/>
      <protection/>
    </xf>
    <xf numFmtId="164" fontId="3" fillId="38" borderId="24" xfId="0" applyNumberFormat="1" applyFont="1" applyFill="1" applyBorder="1" applyAlignment="1" applyProtection="1">
      <alignment horizontal="center" vertical="center"/>
      <protection/>
    </xf>
    <xf numFmtId="164" fontId="3" fillId="38" borderId="23" xfId="0" applyNumberFormat="1" applyFont="1" applyFill="1" applyBorder="1" applyAlignment="1" applyProtection="1">
      <alignment horizontal="center" vertical="center"/>
      <protection/>
    </xf>
    <xf numFmtId="168" fontId="0" fillId="0" borderId="25" xfId="0" applyNumberFormat="1" applyFont="1" applyFill="1" applyBorder="1" applyAlignment="1" applyProtection="1">
      <alignment horizontal="left" vertical="center"/>
      <protection/>
    </xf>
    <xf numFmtId="168" fontId="0" fillId="0" borderId="26" xfId="0" applyNumberFormat="1" applyFont="1" applyFill="1" applyBorder="1" applyAlignment="1" applyProtection="1">
      <alignment horizontal="left" vertical="center"/>
      <protection/>
    </xf>
    <xf numFmtId="165" fontId="0" fillId="0" borderId="25" xfId="0" applyNumberFormat="1" applyFont="1" applyFill="1" applyBorder="1" applyAlignment="1" applyProtection="1">
      <alignment horizontal="center" vertical="center"/>
      <protection/>
    </xf>
    <xf numFmtId="165" fontId="0" fillId="0" borderId="27" xfId="0" applyNumberFormat="1" applyFont="1" applyFill="1" applyBorder="1" applyAlignment="1" applyProtection="1">
      <alignment horizontal="center" vertical="center"/>
      <protection/>
    </xf>
    <xf numFmtId="165" fontId="0" fillId="0" borderId="26" xfId="0" applyNumberFormat="1" applyFont="1" applyFill="1" applyBorder="1" applyAlignment="1" applyProtection="1">
      <alignment horizontal="center" vertical="center"/>
      <protection/>
    </xf>
    <xf numFmtId="168" fontId="3" fillId="38" borderId="10" xfId="0" applyNumberFormat="1" applyFont="1" applyFill="1" applyBorder="1" applyAlignment="1" applyProtection="1">
      <alignment horizontal="left" vertical="center"/>
      <protection/>
    </xf>
    <xf numFmtId="168" fontId="3" fillId="38" borderId="20" xfId="0" applyNumberFormat="1" applyFont="1" applyFill="1" applyBorder="1" applyAlignment="1" applyProtection="1">
      <alignment horizontal="left" vertical="center"/>
      <protection/>
    </xf>
    <xf numFmtId="165" fontId="2" fillId="38" borderId="20" xfId="0" applyNumberFormat="1" applyFont="1" applyFill="1" applyBorder="1" applyAlignment="1" applyProtection="1">
      <alignment horizontal="center" vertical="center"/>
      <protection/>
    </xf>
    <xf numFmtId="165" fontId="2" fillId="38" borderId="23" xfId="0" applyNumberFormat="1" applyFont="1" applyFill="1" applyBorder="1" applyAlignment="1" applyProtection="1">
      <alignment horizontal="center" vertical="center"/>
      <protection/>
    </xf>
    <xf numFmtId="168" fontId="2" fillId="0" borderId="25" xfId="0" applyNumberFormat="1" applyFont="1" applyFill="1" applyBorder="1" applyAlignment="1" applyProtection="1">
      <alignment horizontal="left" vertical="center"/>
      <protection/>
    </xf>
    <xf numFmtId="168" fontId="2" fillId="0" borderId="26" xfId="0" applyNumberFormat="1" applyFont="1" applyFill="1" applyBorder="1" applyAlignment="1" applyProtection="1">
      <alignment horizontal="left" vertical="center"/>
      <protection/>
    </xf>
    <xf numFmtId="194" fontId="2" fillId="0" borderId="25" xfId="0" applyNumberFormat="1" applyFont="1" applyFill="1" applyBorder="1" applyAlignment="1" applyProtection="1">
      <alignment horizontal="center" vertical="center"/>
      <protection/>
    </xf>
    <xf numFmtId="165" fontId="2" fillId="0" borderId="28" xfId="0" applyNumberFormat="1" applyFont="1" applyFill="1" applyBorder="1" applyAlignment="1" applyProtection="1">
      <alignment horizontal="right" vertical="center"/>
      <protection/>
    </xf>
    <xf numFmtId="196" fontId="2" fillId="0" borderId="29"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horizontal="right" vertical="center"/>
      <protection/>
    </xf>
    <xf numFmtId="196" fontId="2" fillId="0" borderId="26" xfId="0" applyNumberFormat="1" applyFont="1" applyFill="1" applyBorder="1" applyAlignment="1" applyProtection="1">
      <alignment horizontal="center" vertical="center"/>
      <protection/>
    </xf>
    <xf numFmtId="2" fontId="0" fillId="0" borderId="0" xfId="0" applyNumberFormat="1" applyFont="1" applyAlignment="1">
      <alignment/>
    </xf>
    <xf numFmtId="165" fontId="2" fillId="0" borderId="30" xfId="0" applyNumberFormat="1" applyFont="1" applyFill="1" applyBorder="1" applyAlignment="1" applyProtection="1">
      <alignment horizontal="right" vertical="center"/>
      <protection/>
    </xf>
    <xf numFmtId="196" fontId="2" fillId="0" borderId="31" xfId="0" applyNumberFormat="1" applyFont="1" applyFill="1" applyBorder="1" applyAlignment="1" applyProtection="1">
      <alignment horizontal="center" vertical="center"/>
      <protection/>
    </xf>
    <xf numFmtId="165" fontId="3" fillId="38" borderId="20" xfId="0" applyNumberFormat="1" applyFont="1" applyFill="1" applyBorder="1" applyAlignment="1" applyProtection="1">
      <alignment horizontal="center" vertical="center"/>
      <protection locked="0"/>
    </xf>
    <xf numFmtId="165" fontId="3" fillId="38" borderId="20" xfId="0" applyNumberFormat="1" applyFont="1" applyFill="1" applyBorder="1" applyAlignment="1" applyProtection="1">
      <alignment horizontal="center" vertical="center"/>
      <protection/>
    </xf>
    <xf numFmtId="165" fontId="3" fillId="38" borderId="23" xfId="0" applyNumberFormat="1" applyFont="1" applyFill="1" applyBorder="1" applyAlignment="1" applyProtection="1">
      <alignment horizontal="center" vertical="center"/>
      <protection/>
    </xf>
    <xf numFmtId="165" fontId="2" fillId="0" borderId="25" xfId="0" applyNumberFormat="1" applyFont="1" applyFill="1" applyBorder="1" applyAlignment="1" applyProtection="1">
      <alignment horizontal="center" vertical="center"/>
      <protection/>
    </xf>
    <xf numFmtId="168" fontId="1" fillId="38" borderId="20" xfId="0" applyNumberFormat="1" applyFont="1" applyFill="1" applyBorder="1" applyAlignment="1" applyProtection="1">
      <alignment horizontal="left" vertical="center"/>
      <protection/>
    </xf>
    <xf numFmtId="165" fontId="0" fillId="38" borderId="20" xfId="0" applyNumberFormat="1" applyFont="1" applyFill="1" applyBorder="1" applyAlignment="1" applyProtection="1">
      <alignment horizontal="center" vertical="center"/>
      <protection/>
    </xf>
    <xf numFmtId="165" fontId="0" fillId="38" borderId="23" xfId="0" applyNumberFormat="1" applyFont="1" applyFill="1" applyBorder="1" applyAlignment="1" applyProtection="1">
      <alignment horizontal="center" vertical="center"/>
      <protection/>
    </xf>
    <xf numFmtId="168" fontId="0" fillId="0" borderId="10" xfId="0" applyNumberFormat="1" applyFont="1" applyFill="1" applyBorder="1" applyAlignment="1" applyProtection="1">
      <alignment horizontal="left" vertical="center"/>
      <protection/>
    </xf>
    <xf numFmtId="168" fontId="0" fillId="0" borderId="23" xfId="0" applyNumberFormat="1" applyFont="1" applyFill="1" applyBorder="1" applyAlignment="1" applyProtection="1">
      <alignment horizontal="left" vertical="center"/>
      <protection/>
    </xf>
    <xf numFmtId="165" fontId="0" fillId="0" borderId="10" xfId="0" applyNumberFormat="1" applyFont="1" applyFill="1" applyBorder="1" applyAlignment="1" applyProtection="1">
      <alignment horizontal="center" vertical="center"/>
      <protection/>
    </xf>
    <xf numFmtId="165" fontId="0" fillId="0" borderId="24" xfId="0" applyNumberFormat="1" applyFont="1" applyFill="1" applyBorder="1" applyAlignment="1" applyProtection="1">
      <alignment horizontal="center" vertical="center"/>
      <protection/>
    </xf>
    <xf numFmtId="165" fontId="0" fillId="0" borderId="23"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pplyProtection="1">
      <alignment/>
      <protection/>
    </xf>
    <xf numFmtId="164" fontId="0" fillId="0" borderId="0" xfId="0" applyNumberFormat="1" applyFont="1" applyAlignment="1" applyProtection="1">
      <alignment horizontal="center"/>
      <protection/>
    </xf>
    <xf numFmtId="168" fontId="0" fillId="0" borderId="32" xfId="0" applyNumberFormat="1" applyFont="1" applyFill="1" applyBorder="1" applyAlignment="1" applyProtection="1">
      <alignment horizontal="left" vertical="center"/>
      <protection/>
    </xf>
    <xf numFmtId="168" fontId="0" fillId="0" borderId="31" xfId="0" applyNumberFormat="1" applyFont="1" applyFill="1" applyBorder="1" applyAlignment="1" applyProtection="1">
      <alignment horizontal="left" vertical="center"/>
      <protection/>
    </xf>
    <xf numFmtId="175" fontId="0" fillId="0" borderId="33" xfId="44" applyFont="1" applyFill="1" applyBorder="1" applyAlignment="1" applyProtection="1">
      <alignment horizontal="center" vertical="center"/>
      <protection locked="0"/>
    </xf>
    <xf numFmtId="0" fontId="0" fillId="0" borderId="0" xfId="0" applyFont="1" applyFill="1" applyBorder="1" applyAlignment="1">
      <alignment/>
    </xf>
    <xf numFmtId="175" fontId="3" fillId="38" borderId="24" xfId="44" applyFont="1" applyFill="1" applyBorder="1" applyAlignment="1" applyProtection="1">
      <alignment horizontal="center" vertical="center"/>
      <protection/>
    </xf>
    <xf numFmtId="175" fontId="3" fillId="38" borderId="23" xfId="44" applyFont="1" applyFill="1" applyBorder="1" applyAlignment="1" applyProtection="1">
      <alignment horizontal="center" vertical="center"/>
      <protection/>
    </xf>
    <xf numFmtId="180" fontId="0" fillId="0" borderId="25" xfId="0" applyNumberFormat="1" applyFont="1" applyFill="1" applyBorder="1" applyAlignment="1" applyProtection="1">
      <alignment horizontal="center" vertical="center"/>
      <protection locked="0"/>
    </xf>
    <xf numFmtId="0" fontId="48" fillId="0" borderId="0" xfId="0" applyFont="1" applyAlignment="1">
      <alignment horizontal="left" vertical="center" indent="1"/>
    </xf>
    <xf numFmtId="176" fontId="48" fillId="0" borderId="0" xfId="0" applyNumberFormat="1" applyFont="1" applyFill="1" applyBorder="1" applyAlignment="1" applyProtection="1">
      <alignment vertical="center"/>
      <protection locked="0"/>
    </xf>
    <xf numFmtId="176" fontId="48" fillId="39" borderId="13" xfId="0" applyNumberFormat="1" applyFont="1" applyFill="1" applyBorder="1" applyAlignment="1" applyProtection="1">
      <alignment horizontal="center" vertical="center"/>
      <protection locked="0"/>
    </xf>
    <xf numFmtId="9" fontId="0" fillId="0" borderId="32" xfId="54" applyNumberFormat="1" applyFont="1" applyFill="1" applyBorder="1" applyAlignment="1" applyProtection="1">
      <alignment horizontal="center" vertical="center"/>
      <protection locked="0"/>
    </xf>
    <xf numFmtId="0" fontId="18" fillId="40" borderId="11" xfId="0" applyFont="1" applyFill="1" applyBorder="1" applyAlignment="1" applyProtection="1">
      <alignment horizontal="center" vertical="center"/>
      <protection locked="0"/>
    </xf>
    <xf numFmtId="175" fontId="0" fillId="0" borderId="31" xfId="44" applyFont="1" applyFill="1" applyBorder="1" applyAlignment="1" applyProtection="1">
      <alignment horizontal="center" vertical="center"/>
      <protection locked="0"/>
    </xf>
    <xf numFmtId="207" fontId="31" fillId="0" borderId="0" xfId="0" applyNumberFormat="1" applyFont="1" applyFill="1" applyAlignment="1" applyProtection="1">
      <alignment vertical="center"/>
      <protection/>
    </xf>
    <xf numFmtId="0" fontId="55" fillId="0" borderId="0" xfId="0" applyFont="1" applyAlignment="1">
      <alignment vertical="center"/>
    </xf>
    <xf numFmtId="0" fontId="57" fillId="0" borderId="0" xfId="0" applyFont="1" applyAlignment="1">
      <alignment vertical="center"/>
    </xf>
    <xf numFmtId="180" fontId="1" fillId="0" borderId="0" xfId="0" applyNumberFormat="1" applyFont="1" applyFill="1" applyBorder="1" applyAlignment="1">
      <alignment vertical="center"/>
    </xf>
    <xf numFmtId="10" fontId="1" fillId="34" borderId="13" xfId="54" applyNumberFormat="1" applyFont="1" applyFill="1" applyBorder="1" applyAlignment="1">
      <alignment horizontal="center" vertical="center"/>
    </xf>
    <xf numFmtId="10" fontId="54" fillId="39" borderId="13" xfId="0" applyNumberFormat="1" applyFont="1" applyFill="1" applyBorder="1" applyAlignment="1" applyProtection="1">
      <alignment horizontal="center" vertical="center"/>
      <protection locked="0"/>
    </xf>
    <xf numFmtId="10" fontId="18" fillId="40" borderId="11" xfId="54" applyNumberFormat="1" applyFont="1" applyFill="1" applyBorder="1" applyAlignment="1" applyProtection="1">
      <alignment horizontal="center" vertical="center"/>
      <protection locked="0"/>
    </xf>
    <xf numFmtId="2" fontId="58" fillId="0" borderId="0" xfId="0" applyNumberFormat="1" applyFont="1" applyAlignment="1" applyProtection="1">
      <alignment horizontal="center" vertical="center"/>
      <protection/>
    </xf>
    <xf numFmtId="0" fontId="10" fillId="14" borderId="34" xfId="53" applyFont="1" applyFill="1" applyBorder="1" applyAlignment="1" applyProtection="1">
      <alignment horizontal="center" vertical="center"/>
      <protection/>
    </xf>
    <xf numFmtId="0" fontId="13" fillId="14" borderId="35" xfId="53" applyFont="1" applyFill="1" applyBorder="1" applyAlignment="1" applyProtection="1">
      <alignment horizontal="center" vertical="center"/>
      <protection/>
    </xf>
    <xf numFmtId="0" fontId="9" fillId="14" borderId="34" xfId="53" applyFont="1" applyFill="1" applyBorder="1" applyAlignment="1" applyProtection="1">
      <alignment horizontal="center" vertical="center"/>
      <protection/>
    </xf>
    <xf numFmtId="0" fontId="10" fillId="14" borderId="36" xfId="53" applyFont="1" applyFill="1" applyBorder="1" applyAlignment="1" applyProtection="1">
      <alignment horizontal="center" vertical="center"/>
      <protection/>
    </xf>
    <xf numFmtId="0" fontId="13" fillId="14" borderId="37" xfId="53" applyFont="1" applyFill="1" applyBorder="1" applyAlignment="1" applyProtection="1">
      <alignment horizontal="center" vertical="center"/>
      <protection/>
    </xf>
    <xf numFmtId="0" fontId="9" fillId="14" borderId="36" xfId="53" applyFont="1" applyFill="1" applyBorder="1" applyAlignment="1" applyProtection="1">
      <alignment horizontal="center" vertical="center"/>
      <protection/>
    </xf>
    <xf numFmtId="0" fontId="13" fillId="14" borderId="38" xfId="0" applyFont="1" applyFill="1" applyBorder="1" applyAlignment="1" applyProtection="1">
      <alignment horizontal="center" vertical="center"/>
      <protection/>
    </xf>
    <xf numFmtId="0" fontId="9" fillId="14" borderId="39" xfId="53" applyFont="1" applyFill="1" applyBorder="1" applyAlignment="1" applyProtection="1">
      <alignment horizontal="center" vertical="center"/>
      <protection/>
    </xf>
    <xf numFmtId="0" fontId="13" fillId="14" borderId="40" xfId="53" applyFont="1" applyFill="1" applyBorder="1" applyAlignment="1" applyProtection="1">
      <alignment horizontal="center" vertical="center"/>
      <protection/>
    </xf>
    <xf numFmtId="0" fontId="9" fillId="0" borderId="0" xfId="53" applyFont="1"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0" fontId="10" fillId="14" borderId="39" xfId="53" applyFont="1" applyFill="1" applyBorder="1" applyAlignment="1" applyProtection="1">
      <alignment horizontal="center" vertical="center"/>
      <protection/>
    </xf>
    <xf numFmtId="0" fontId="19" fillId="34" borderId="41" xfId="0" applyFont="1" applyFill="1" applyBorder="1" applyAlignment="1">
      <alignment horizontal="left" vertical="center" indent="1"/>
    </xf>
    <xf numFmtId="0" fontId="18" fillId="40" borderId="42" xfId="0" applyFont="1" applyFill="1" applyBorder="1" applyAlignment="1" applyProtection="1">
      <alignment horizontal="center" vertical="center"/>
      <protection locked="0"/>
    </xf>
    <xf numFmtId="0" fontId="19" fillId="41" borderId="11" xfId="0" applyFont="1" applyFill="1" applyBorder="1" applyAlignment="1">
      <alignment horizontal="left" vertical="center" indent="1"/>
    </xf>
    <xf numFmtId="0" fontId="19" fillId="0" borderId="28" xfId="0" applyFont="1" applyFill="1" applyBorder="1" applyAlignment="1">
      <alignment horizontal="left" vertical="center" indent="1"/>
    </xf>
    <xf numFmtId="0" fontId="18" fillId="0" borderId="28" xfId="0" applyFont="1" applyFill="1" applyBorder="1" applyAlignment="1" applyProtection="1">
      <alignment horizontal="center" vertical="center"/>
      <protection locked="0"/>
    </xf>
    <xf numFmtId="0" fontId="15" fillId="0" borderId="0" xfId="0" applyFont="1" applyFill="1" applyBorder="1" applyAlignment="1">
      <alignment vertical="center"/>
    </xf>
    <xf numFmtId="0" fontId="40" fillId="0" borderId="0" xfId="0" applyFont="1" applyFill="1" applyBorder="1" applyAlignment="1">
      <alignment vertical="center"/>
    </xf>
    <xf numFmtId="0" fontId="19" fillId="0" borderId="0" xfId="0" applyFont="1" applyFill="1" applyBorder="1" applyAlignment="1">
      <alignment horizontal="center" vertical="center"/>
    </xf>
    <xf numFmtId="212" fontId="18" fillId="0" borderId="0" xfId="50" applyNumberFormat="1" applyFont="1" applyFill="1" applyBorder="1" applyAlignment="1" applyProtection="1">
      <alignment horizontal="center" vertical="center"/>
      <protection locked="0"/>
    </xf>
    <xf numFmtId="0" fontId="19" fillId="0" borderId="20" xfId="0" applyFont="1" applyFill="1" applyBorder="1" applyAlignment="1">
      <alignment horizontal="left" vertical="center" indent="1"/>
    </xf>
    <xf numFmtId="10" fontId="18" fillId="0" borderId="20" xfId="54" applyNumberFormat="1" applyFont="1" applyFill="1" applyBorder="1" applyAlignment="1" applyProtection="1">
      <alignment horizontal="center" vertical="center"/>
      <protection locked="0"/>
    </xf>
    <xf numFmtId="0" fontId="15" fillId="0" borderId="0" xfId="0" applyFont="1" applyFill="1" applyAlignment="1" applyProtection="1">
      <alignment horizontal="left" vertical="center"/>
      <protection/>
    </xf>
    <xf numFmtId="0" fontId="26" fillId="0" borderId="0" xfId="0" applyFont="1" applyFill="1" applyAlignment="1" applyProtection="1">
      <alignment/>
      <protection/>
    </xf>
    <xf numFmtId="0" fontId="5" fillId="0" borderId="0" xfId="46" applyNumberFormat="1" applyFill="1" applyBorder="1" applyAlignment="1" applyProtection="1">
      <alignment horizontal="left" vertical="center" shrinkToFit="1"/>
      <protection/>
    </xf>
    <xf numFmtId="0" fontId="15" fillId="0" borderId="0" xfId="0" applyFont="1" applyFill="1" applyAlignment="1" applyProtection="1">
      <alignment horizontal="center" vertical="center"/>
      <protection locked="0"/>
    </xf>
    <xf numFmtId="0" fontId="65" fillId="0" borderId="0" xfId="46" applyFont="1" applyAlignment="1" applyProtection="1" quotePrefix="1">
      <alignment/>
      <protection locked="0"/>
    </xf>
    <xf numFmtId="0" fontId="65" fillId="0" borderId="0" xfId="46" applyFont="1" applyAlignment="1" applyProtection="1">
      <alignment/>
      <protection locked="0"/>
    </xf>
    <xf numFmtId="171" fontId="65" fillId="0" borderId="0" xfId="46" applyNumberFormat="1" applyFont="1" applyFill="1" applyBorder="1" applyAlignment="1" applyProtection="1">
      <alignment horizontal="right" vertical="center" indent="1"/>
      <protection locked="0"/>
    </xf>
    <xf numFmtId="0" fontId="103" fillId="0" borderId="0" xfId="0" applyFont="1" applyAlignment="1">
      <alignment vertical="center"/>
    </xf>
    <xf numFmtId="0" fontId="24" fillId="0" borderId="0" xfId="53" applyFont="1" applyBorder="1" applyAlignment="1">
      <alignment vertical="center"/>
      <protection/>
    </xf>
    <xf numFmtId="0" fontId="4" fillId="0" borderId="0" xfId="0" applyFont="1" applyBorder="1" applyAlignment="1">
      <alignment vertical="center"/>
    </xf>
    <xf numFmtId="0" fontId="26" fillId="0" borderId="0" xfId="0" applyFont="1" applyBorder="1" applyAlignment="1" applyProtection="1">
      <alignment horizontal="right" indent="1"/>
      <protection/>
    </xf>
    <xf numFmtId="0" fontId="15" fillId="0" borderId="0" xfId="0" applyFont="1" applyFill="1" applyAlignment="1" applyProtection="1">
      <alignment vertical="center"/>
      <protection locked="0"/>
    </xf>
    <xf numFmtId="0" fontId="15" fillId="0" borderId="0" xfId="0" applyFont="1" applyBorder="1" applyAlignment="1" applyProtection="1">
      <alignment horizontal="right" indent="1"/>
      <protection locked="0"/>
    </xf>
    <xf numFmtId="0" fontId="65" fillId="0" borderId="0" xfId="46" applyFont="1" applyBorder="1" applyAlignment="1" applyProtection="1" quotePrefix="1">
      <alignment horizontal="right" indent="1"/>
      <protection locked="0"/>
    </xf>
    <xf numFmtId="0" fontId="65" fillId="0" borderId="0" xfId="46" applyFont="1" applyFill="1" applyBorder="1" applyAlignment="1" applyProtection="1">
      <alignment horizontal="right" indent="1"/>
      <protection locked="0"/>
    </xf>
    <xf numFmtId="0" fontId="19" fillId="14" borderId="11" xfId="0" applyFont="1" applyFill="1" applyBorder="1" applyAlignment="1">
      <alignment horizontal="left" vertical="center" indent="1"/>
    </xf>
    <xf numFmtId="0" fontId="20" fillId="42" borderId="10" xfId="0" applyFont="1" applyFill="1" applyBorder="1" applyAlignment="1">
      <alignment horizontal="left" vertical="center" indent="1"/>
    </xf>
    <xf numFmtId="173" fontId="15" fillId="0" borderId="19" xfId="0" applyNumberFormat="1" applyFont="1" applyFill="1" applyBorder="1" applyAlignment="1" applyProtection="1">
      <alignment vertical="center"/>
      <protection/>
    </xf>
    <xf numFmtId="0" fontId="69" fillId="0" borderId="0" xfId="0" applyFont="1" applyAlignment="1">
      <alignment vertical="center"/>
    </xf>
    <xf numFmtId="0" fontId="22" fillId="0" borderId="0" xfId="0" applyFont="1" applyFill="1" applyAlignment="1" applyProtection="1">
      <alignment horizontal="center" vertical="center"/>
      <protection/>
    </xf>
    <xf numFmtId="207" fontId="31" fillId="0" borderId="0" xfId="0" applyNumberFormat="1" applyFont="1" applyFill="1" applyAlignment="1" applyProtection="1">
      <alignment horizontal="left" vertical="center"/>
      <protection/>
    </xf>
    <xf numFmtId="0" fontId="31" fillId="36" borderId="0" xfId="0" applyFont="1" applyFill="1" applyBorder="1" applyAlignment="1" applyProtection="1">
      <alignment horizontal="right" vertical="center" wrapText="1" indent="1"/>
      <protection/>
    </xf>
    <xf numFmtId="0" fontId="31" fillId="36" borderId="43" xfId="0" applyFont="1" applyFill="1" applyBorder="1" applyAlignment="1" applyProtection="1">
      <alignment horizontal="right" vertical="center" wrapText="1" indent="1"/>
      <protection/>
    </xf>
    <xf numFmtId="0" fontId="59" fillId="43" borderId="10" xfId="46" applyFont="1" applyFill="1" applyBorder="1" applyAlignment="1" applyProtection="1">
      <alignment horizontal="center"/>
      <protection locked="0"/>
    </xf>
    <xf numFmtId="0" fontId="59" fillId="43" borderId="20" xfId="46" applyFont="1" applyFill="1" applyBorder="1" applyAlignment="1" applyProtection="1">
      <alignment horizontal="center"/>
      <protection locked="0"/>
    </xf>
    <xf numFmtId="0" fontId="59" fillId="43" borderId="23" xfId="46" applyFont="1" applyFill="1" applyBorder="1" applyAlignment="1" applyProtection="1">
      <alignment horizontal="center"/>
      <protection locked="0"/>
    </xf>
    <xf numFmtId="0" fontId="26" fillId="0" borderId="25" xfId="0" applyNumberFormat="1" applyFont="1" applyFill="1" applyBorder="1" applyAlignment="1" applyProtection="1">
      <alignment horizontal="center" vertical="center" shrinkToFit="1"/>
      <protection/>
    </xf>
    <xf numFmtId="190" fontId="24" fillId="43" borderId="10" xfId="0" applyNumberFormat="1" applyFont="1" applyFill="1" applyBorder="1" applyAlignment="1" applyProtection="1">
      <alignment horizontal="center" vertical="center"/>
      <protection locked="0"/>
    </xf>
    <xf numFmtId="190" fontId="24" fillId="43" borderId="20" xfId="0" applyNumberFormat="1" applyFont="1" applyFill="1" applyBorder="1" applyAlignment="1" applyProtection="1">
      <alignment horizontal="center" vertical="center"/>
      <protection locked="0"/>
    </xf>
    <xf numFmtId="190" fontId="24" fillId="43" borderId="23" xfId="0" applyNumberFormat="1" applyFont="1" applyFill="1" applyBorder="1" applyAlignment="1" applyProtection="1">
      <alignment horizontal="center" vertical="center"/>
      <protection locked="0"/>
    </xf>
    <xf numFmtId="171" fontId="15" fillId="0" borderId="0" xfId="0" applyNumberFormat="1" applyFont="1" applyFill="1" applyBorder="1" applyAlignment="1" applyProtection="1">
      <alignment horizontal="right" vertical="center" wrapText="1" indent="2"/>
      <protection/>
    </xf>
    <xf numFmtId="171" fontId="15" fillId="0" borderId="26" xfId="0" applyNumberFormat="1" applyFont="1" applyFill="1" applyBorder="1" applyAlignment="1" applyProtection="1">
      <alignment horizontal="right" vertical="center" wrapText="1" indent="2"/>
      <protection/>
    </xf>
    <xf numFmtId="1" fontId="26" fillId="34" borderId="42" xfId="0" applyNumberFormat="1" applyFont="1" applyFill="1" applyBorder="1" applyAlignment="1" applyProtection="1">
      <alignment horizontal="center" vertical="center" shrinkToFit="1"/>
      <protection locked="0"/>
    </xf>
    <xf numFmtId="1" fontId="26" fillId="34" borderId="21" xfId="0" applyNumberFormat="1" applyFont="1" applyFill="1" applyBorder="1" applyAlignment="1" applyProtection="1">
      <alignment horizontal="center" vertical="center" shrinkToFit="1"/>
      <protection locked="0"/>
    </xf>
    <xf numFmtId="170" fontId="46" fillId="0" borderId="0" xfId="0" applyNumberFormat="1" applyFont="1" applyFill="1" applyAlignment="1" applyProtection="1">
      <alignment horizontal="center" vertical="center"/>
      <protection/>
    </xf>
    <xf numFmtId="173" fontId="26" fillId="36" borderId="0" xfId="0" applyNumberFormat="1" applyFont="1" applyFill="1" applyBorder="1" applyAlignment="1" applyProtection="1">
      <alignment horizontal="right" vertical="center" wrapText="1" indent="1"/>
      <protection/>
    </xf>
    <xf numFmtId="173" fontId="26" fillId="36" borderId="26" xfId="0" applyNumberFormat="1" applyFont="1" applyFill="1" applyBorder="1" applyAlignment="1" applyProtection="1">
      <alignment horizontal="right" vertical="center" wrapText="1" indent="1"/>
      <protection/>
    </xf>
    <xf numFmtId="171" fontId="37" fillId="0" borderId="0" xfId="0" applyNumberFormat="1" applyFont="1" applyFill="1" applyBorder="1" applyAlignment="1" applyProtection="1">
      <alignment horizontal="right" vertical="center"/>
      <protection/>
    </xf>
    <xf numFmtId="0" fontId="37" fillId="0" borderId="28" xfId="0"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176" fontId="37" fillId="37" borderId="0" xfId="0" applyNumberFormat="1" applyFont="1" applyFill="1" applyAlignment="1" applyProtection="1">
      <alignment horizontal="left" vertical="center"/>
      <protection/>
    </xf>
    <xf numFmtId="175" fontId="15" fillId="0" borderId="0" xfId="44" applyFont="1" applyFill="1" applyAlignment="1" applyProtection="1">
      <alignment horizontal="center" vertical="center"/>
      <protection/>
    </xf>
    <xf numFmtId="170" fontId="32" fillId="0" borderId="17" xfId="0" applyNumberFormat="1" applyFont="1" applyFill="1" applyBorder="1" applyAlignment="1" applyProtection="1">
      <alignment horizontal="center" vertical="center"/>
      <protection/>
    </xf>
    <xf numFmtId="170" fontId="32" fillId="0" borderId="44" xfId="0" applyNumberFormat="1" applyFont="1" applyFill="1" applyBorder="1" applyAlignment="1" applyProtection="1">
      <alignment horizontal="center" vertical="center"/>
      <protection/>
    </xf>
    <xf numFmtId="170" fontId="32" fillId="0" borderId="19" xfId="0" applyNumberFormat="1" applyFont="1" applyFill="1" applyBorder="1" applyAlignment="1" applyProtection="1">
      <alignment horizontal="center" vertical="center"/>
      <protection/>
    </xf>
    <xf numFmtId="170" fontId="32" fillId="0" borderId="45" xfId="0" applyNumberFormat="1" applyFont="1" applyFill="1" applyBorder="1" applyAlignment="1" applyProtection="1">
      <alignment horizontal="center" vertical="center"/>
      <protection/>
    </xf>
    <xf numFmtId="0" fontId="26" fillId="0" borderId="0" xfId="0" applyFont="1" applyFill="1" applyAlignment="1" applyProtection="1">
      <alignment horizontal="left" wrapText="1"/>
      <protection/>
    </xf>
    <xf numFmtId="0" fontId="30" fillId="0" borderId="46" xfId="0" applyFont="1" applyFill="1" applyBorder="1" applyAlignment="1" applyProtection="1">
      <alignment horizontal="left" vertical="center" wrapText="1" indent="1"/>
      <protection/>
    </xf>
    <xf numFmtId="0" fontId="30" fillId="0" borderId="47" xfId="0" applyFont="1" applyFill="1" applyBorder="1" applyAlignment="1" applyProtection="1">
      <alignment horizontal="left" vertical="center" wrapText="1" indent="1"/>
      <protection/>
    </xf>
    <xf numFmtId="0" fontId="30" fillId="0" borderId="48" xfId="0" applyFont="1" applyFill="1" applyBorder="1" applyAlignment="1" applyProtection="1">
      <alignment horizontal="left" vertical="center" wrapText="1" indent="1"/>
      <protection/>
    </xf>
    <xf numFmtId="173" fontId="15" fillId="0" borderId="19" xfId="0" applyNumberFormat="1" applyFont="1" applyFill="1" applyBorder="1" applyAlignment="1" applyProtection="1">
      <alignment horizontal="center" vertical="center"/>
      <protection/>
    </xf>
    <xf numFmtId="49" fontId="24" fillId="43" borderId="10" xfId="0" applyNumberFormat="1" applyFont="1" applyFill="1" applyBorder="1" applyAlignment="1" applyProtection="1">
      <alignment horizontal="center" vertical="center"/>
      <protection/>
    </xf>
    <xf numFmtId="49" fontId="24" fillId="43" borderId="20" xfId="0" applyNumberFormat="1" applyFont="1" applyFill="1" applyBorder="1" applyAlignment="1" applyProtection="1">
      <alignment horizontal="center" vertical="center"/>
      <protection/>
    </xf>
    <xf numFmtId="49" fontId="24" fillId="43" borderId="23" xfId="0" applyNumberFormat="1" applyFont="1" applyFill="1" applyBorder="1" applyAlignment="1" applyProtection="1">
      <alignment horizontal="center" vertical="center"/>
      <protection/>
    </xf>
    <xf numFmtId="0" fontId="26" fillId="0" borderId="17" xfId="0" applyFont="1" applyFill="1" applyBorder="1" applyAlignment="1" applyProtection="1">
      <alignment horizontal="left" vertical="center" wrapText="1"/>
      <protection/>
    </xf>
    <xf numFmtId="170" fontId="24" fillId="35" borderId="46" xfId="0" applyNumberFormat="1" applyFont="1" applyFill="1" applyBorder="1" applyAlignment="1" applyProtection="1">
      <alignment horizontal="right" vertical="center"/>
      <protection/>
    </xf>
    <xf numFmtId="170" fontId="24" fillId="35" borderId="48" xfId="0" applyNumberFormat="1" applyFont="1" applyFill="1" applyBorder="1" applyAlignment="1" applyProtection="1">
      <alignment horizontal="right" vertical="center"/>
      <protection/>
    </xf>
    <xf numFmtId="49" fontId="51" fillId="0" borderId="0" xfId="0" applyNumberFormat="1" applyFont="1" applyBorder="1" applyAlignment="1" applyProtection="1">
      <alignment horizontal="center" vertical="center"/>
      <protection locked="0"/>
    </xf>
    <xf numFmtId="14" fontId="48" fillId="34" borderId="46" xfId="0" applyNumberFormat="1" applyFont="1" applyFill="1" applyBorder="1" applyAlignment="1" applyProtection="1">
      <alignment horizontal="center" vertical="center"/>
      <protection locked="0"/>
    </xf>
    <xf numFmtId="14" fontId="48" fillId="34" borderId="48" xfId="0" applyNumberFormat="1" applyFont="1" applyFill="1" applyBorder="1" applyAlignment="1" applyProtection="1">
      <alignment horizontal="center" vertical="center"/>
      <protection locked="0"/>
    </xf>
    <xf numFmtId="180" fontId="1" fillId="38" borderId="13" xfId="0" applyNumberFormat="1" applyFont="1" applyFill="1" applyBorder="1" applyAlignment="1">
      <alignment horizontal="center" vertical="center"/>
    </xf>
    <xf numFmtId="0" fontId="1" fillId="0" borderId="0" xfId="0" applyFont="1" applyBorder="1" applyAlignment="1">
      <alignment horizontal="center" vertical="center" textRotation="180"/>
    </xf>
    <xf numFmtId="168" fontId="0" fillId="38" borderId="46" xfId="0" applyNumberFormat="1" applyFont="1" applyFill="1" applyBorder="1" applyAlignment="1" applyProtection="1">
      <alignment horizontal="center" vertical="center" wrapText="1"/>
      <protection/>
    </xf>
    <xf numFmtId="168" fontId="0" fillId="38" borderId="48" xfId="0" applyNumberFormat="1" applyFont="1" applyFill="1" applyBorder="1" applyAlignment="1" applyProtection="1">
      <alignment horizontal="center" vertical="center" wrapText="1"/>
      <protection/>
    </xf>
    <xf numFmtId="168" fontId="0" fillId="34" borderId="49" xfId="0" applyNumberFormat="1" applyFont="1" applyFill="1" applyBorder="1" applyAlignment="1" applyProtection="1">
      <alignment horizontal="center" vertical="center" wrapText="1"/>
      <protection/>
    </xf>
    <xf numFmtId="168" fontId="0" fillId="34" borderId="13" xfId="0" applyNumberFormat="1" applyFont="1" applyFill="1" applyBorder="1" applyAlignment="1" applyProtection="1">
      <alignment horizontal="center" vertical="center" wrapText="1"/>
      <protection/>
    </xf>
    <xf numFmtId="164" fontId="1" fillId="34" borderId="13" xfId="0" applyNumberFormat="1" applyFont="1" applyFill="1" applyBorder="1" applyAlignment="1" applyProtection="1">
      <alignment horizontal="center" vertical="center" wrapText="1"/>
      <protection/>
    </xf>
    <xf numFmtId="180" fontId="1" fillId="34" borderId="13" xfId="0" applyNumberFormat="1" applyFont="1" applyFill="1" applyBorder="1" applyAlignment="1">
      <alignment horizontal="center" vertical="center"/>
    </xf>
    <xf numFmtId="180" fontId="1" fillId="34" borderId="49" xfId="44" applyNumberFormat="1" applyFont="1" applyFill="1" applyBorder="1" applyAlignment="1">
      <alignment horizontal="center" vertical="center"/>
    </xf>
    <xf numFmtId="180" fontId="1" fillId="34" borderId="13" xfId="44" applyNumberFormat="1" applyFont="1" applyFill="1" applyBorder="1" applyAlignment="1">
      <alignment horizontal="center" vertical="center"/>
    </xf>
    <xf numFmtId="164" fontId="1" fillId="38" borderId="13" xfId="0" applyNumberFormat="1" applyFont="1" applyFill="1" applyBorder="1" applyAlignment="1" applyProtection="1">
      <alignment horizontal="center" vertical="center" wrapText="1"/>
      <protection/>
    </xf>
    <xf numFmtId="168" fontId="1" fillId="38" borderId="10" xfId="0" applyNumberFormat="1" applyFont="1" applyFill="1" applyBorder="1" applyAlignment="1" applyProtection="1">
      <alignment horizontal="left" vertical="center" wrapText="1"/>
      <protection/>
    </xf>
    <xf numFmtId="168" fontId="1" fillId="38" borderId="23" xfId="0" applyNumberFormat="1" applyFont="1" applyFill="1" applyBorder="1" applyAlignment="1" applyProtection="1">
      <alignment horizontal="left" vertical="center" wrapText="1"/>
      <protection/>
    </xf>
    <xf numFmtId="0" fontId="70" fillId="0" borderId="0" xfId="0" applyFont="1" applyBorder="1" applyAlignment="1">
      <alignment horizontal="right" vertical="center" wrapText="1"/>
    </xf>
    <xf numFmtId="0" fontId="1" fillId="0" borderId="13" xfId="0" applyFont="1" applyBorder="1" applyAlignment="1">
      <alignment horizontal="center" vertical="center" wrapText="1"/>
    </xf>
    <xf numFmtId="0" fontId="63" fillId="0" borderId="13" xfId="0" applyFont="1" applyBorder="1" applyAlignment="1">
      <alignment horizontal="center" vertical="center" wrapText="1"/>
    </xf>
    <xf numFmtId="168" fontId="1" fillId="38" borderId="10" xfId="0" applyNumberFormat="1" applyFont="1" applyFill="1" applyBorder="1" applyAlignment="1" applyProtection="1">
      <alignment horizontal="center" vertical="center"/>
      <protection/>
    </xf>
    <xf numFmtId="168" fontId="1" fillId="38" borderId="20" xfId="0" applyNumberFormat="1" applyFont="1" applyFill="1" applyBorder="1" applyAlignment="1" applyProtection="1">
      <alignment horizontal="center" vertical="center"/>
      <protection/>
    </xf>
    <xf numFmtId="168" fontId="1" fillId="38" borderId="50" xfId="0" applyNumberFormat="1" applyFont="1" applyFill="1" applyBorder="1" applyAlignment="1" applyProtection="1">
      <alignment horizontal="center" vertical="center"/>
      <protection/>
    </xf>
    <xf numFmtId="164" fontId="3" fillId="0" borderId="10" xfId="0" applyNumberFormat="1" applyFont="1" applyFill="1" applyBorder="1" applyAlignment="1" applyProtection="1">
      <alignment horizontal="center" vertical="center"/>
      <protection/>
    </xf>
    <xf numFmtId="164" fontId="3" fillId="0" borderId="20" xfId="0" applyNumberFormat="1" applyFont="1" applyFill="1" applyBorder="1" applyAlignment="1" applyProtection="1">
      <alignment horizontal="center" vertical="center"/>
      <protection/>
    </xf>
    <xf numFmtId="164" fontId="3" fillId="0" borderId="23" xfId="0" applyNumberFormat="1" applyFont="1" applyFill="1" applyBorder="1" applyAlignment="1" applyProtection="1">
      <alignment horizontal="center" vertical="center"/>
      <protection/>
    </xf>
    <xf numFmtId="206" fontId="47" fillId="34" borderId="0" xfId="0" applyNumberFormat="1" applyFont="1" applyFill="1" applyBorder="1" applyAlignment="1" applyProtection="1">
      <alignment horizontal="center" vertical="center"/>
      <protection locked="0"/>
    </xf>
    <xf numFmtId="206" fontId="47" fillId="34" borderId="12" xfId="0" applyNumberFormat="1" applyFont="1" applyFill="1" applyBorder="1" applyAlignment="1" applyProtection="1">
      <alignment horizontal="center" vertical="center"/>
      <protection locked="0"/>
    </xf>
    <xf numFmtId="0" fontId="49" fillId="0" borderId="0" xfId="0" applyFont="1" applyAlignment="1" applyProtection="1">
      <alignment horizontal="left" vertical="center" wrapText="1"/>
      <protection/>
    </xf>
    <xf numFmtId="0" fontId="47" fillId="0" borderId="0" xfId="0" applyFont="1" applyAlignment="1" applyProtection="1">
      <alignment horizontal="left" vertical="center"/>
      <protection locked="0"/>
    </xf>
    <xf numFmtId="0" fontId="47" fillId="0" borderId="12" xfId="0" applyFont="1" applyBorder="1" applyAlignment="1" applyProtection="1">
      <alignment horizontal="left" vertical="center"/>
      <protection locked="0"/>
    </xf>
    <xf numFmtId="0" fontId="51" fillId="0" borderId="42" xfId="0" applyFont="1" applyFill="1" applyBorder="1" applyAlignment="1" applyProtection="1">
      <alignment horizontal="right" vertical="center" textRotation="90" wrapText="1" shrinkToFit="1"/>
      <protection/>
    </xf>
    <xf numFmtId="0" fontId="51" fillId="0" borderId="51" xfId="0" applyFont="1" applyFill="1" applyBorder="1" applyAlignment="1" applyProtection="1">
      <alignment horizontal="right" vertical="center" textRotation="90" shrinkToFit="1"/>
      <protection/>
    </xf>
    <xf numFmtId="0" fontId="51" fillId="0" borderId="21" xfId="0" applyFont="1" applyFill="1" applyBorder="1" applyAlignment="1" applyProtection="1">
      <alignment horizontal="right" vertical="center" textRotation="90" shrinkToFit="1"/>
      <protection/>
    </xf>
    <xf numFmtId="49" fontId="47" fillId="0" borderId="52" xfId="0" applyNumberFormat="1" applyFont="1" applyBorder="1" applyAlignment="1" applyProtection="1">
      <alignment horizontal="center" vertical="center"/>
      <protection locked="0"/>
    </xf>
    <xf numFmtId="49" fontId="47" fillId="0" borderId="12" xfId="0" applyNumberFormat="1" applyFont="1" applyBorder="1" applyAlignment="1" applyProtection="1">
      <alignment horizontal="center" vertical="center"/>
      <protection locked="0"/>
    </xf>
    <xf numFmtId="208" fontId="48" fillId="0" borderId="52" xfId="54" applyNumberFormat="1" applyFont="1" applyBorder="1" applyAlignment="1">
      <alignment horizontal="center" vertical="center"/>
    </xf>
    <xf numFmtId="208" fontId="48" fillId="0" borderId="0" xfId="54" applyNumberFormat="1" applyFont="1" applyAlignment="1">
      <alignment horizontal="center" vertical="center"/>
    </xf>
    <xf numFmtId="0" fontId="103" fillId="0" borderId="0" xfId="0" applyFont="1" applyAlignment="1">
      <alignment horizontal="center" vertical="center"/>
    </xf>
    <xf numFmtId="0" fontId="24" fillId="0" borderId="0" xfId="53" applyFont="1" applyBorder="1" applyAlignment="1">
      <alignment horizontal="center" vertical="center"/>
      <protection/>
    </xf>
    <xf numFmtId="0" fontId="56" fillId="0" borderId="0" xfId="46" applyFont="1" applyAlignment="1" applyProtection="1">
      <alignment horizontal="center" vertical="center"/>
      <protection/>
    </xf>
    <xf numFmtId="0" fontId="60" fillId="0" borderId="0" xfId="0" applyFont="1" applyAlignment="1">
      <alignment horizontal="center" vertical="center"/>
    </xf>
    <xf numFmtId="0" fontId="9" fillId="14" borderId="41" xfId="53" applyFont="1" applyFill="1" applyBorder="1" applyAlignment="1">
      <alignment horizontal="center" vertical="center"/>
      <protection/>
    </xf>
    <xf numFmtId="0" fontId="9" fillId="14" borderId="29" xfId="53" applyFont="1" applyFill="1" applyBorder="1" applyAlignment="1">
      <alignment horizontal="center" vertical="center"/>
      <protection/>
    </xf>
    <xf numFmtId="0" fontId="9" fillId="14" borderId="32" xfId="53" applyFont="1" applyFill="1" applyBorder="1" applyAlignment="1">
      <alignment horizontal="center" vertical="center"/>
      <protection/>
    </xf>
    <xf numFmtId="0" fontId="9" fillId="14" borderId="31" xfId="53" applyFont="1" applyFill="1" applyBorder="1" applyAlignment="1">
      <alignment horizontal="center" vertical="center"/>
      <protection/>
    </xf>
    <xf numFmtId="0" fontId="9" fillId="14" borderId="25" xfId="53" applyFont="1" applyFill="1" applyBorder="1" applyAlignment="1">
      <alignment horizontal="center" vertical="center"/>
      <protection/>
    </xf>
    <xf numFmtId="0" fontId="9" fillId="14" borderId="26" xfId="53" applyFont="1" applyFill="1" applyBorder="1" applyAlignment="1">
      <alignment horizontal="center" vertical="center"/>
      <protection/>
    </xf>
    <xf numFmtId="0" fontId="11" fillId="14" borderId="53" xfId="53" applyFont="1" applyFill="1" applyBorder="1" applyAlignment="1" applyProtection="1">
      <alignment horizontal="center" vertical="center"/>
      <protection/>
    </xf>
    <xf numFmtId="0" fontId="11" fillId="14" borderId="54" xfId="53" applyFont="1" applyFill="1" applyBorder="1" applyAlignment="1" applyProtection="1">
      <alignment horizontal="center" vertical="center"/>
      <protection/>
    </xf>
    <xf numFmtId="0" fontId="12" fillId="14" borderId="55" xfId="53" applyFont="1" applyFill="1" applyBorder="1" applyAlignment="1" applyProtection="1">
      <alignment horizontal="center" vertical="center"/>
      <protection/>
    </xf>
    <xf numFmtId="0" fontId="12" fillId="14" borderId="56" xfId="53" applyFont="1" applyFill="1" applyBorder="1" applyAlignment="1" applyProtection="1">
      <alignment horizontal="center" vertical="center"/>
      <protection/>
    </xf>
    <xf numFmtId="0" fontId="14" fillId="34" borderId="0" xfId="46" applyFont="1" applyFill="1" applyAlignment="1" applyProtection="1">
      <alignment horizontal="center" vertical="center"/>
      <protection/>
    </xf>
    <xf numFmtId="0" fontId="24" fillId="0" borderId="30" xfId="53" applyFont="1" applyBorder="1" applyAlignment="1">
      <alignment horizontal="center" vertical="center"/>
      <protection/>
    </xf>
    <xf numFmtId="0" fontId="12" fillId="14" borderId="53" xfId="53" applyFont="1" applyFill="1" applyBorder="1" applyAlignment="1" applyProtection="1">
      <alignment horizontal="center" vertical="center"/>
      <protection/>
    </xf>
    <xf numFmtId="0" fontId="12" fillId="14" borderId="54" xfId="53" applyFont="1" applyFill="1" applyBorder="1" applyAlignment="1" applyProtection="1">
      <alignment horizontal="center" vertical="center"/>
      <protection/>
    </xf>
    <xf numFmtId="212" fontId="18" fillId="40" borderId="11" xfId="50" applyNumberFormat="1"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1" fillId="0" borderId="0" xfId="0" applyFont="1" applyAlignment="1">
      <alignment horizontal="center" vertical="center"/>
    </xf>
    <xf numFmtId="0" fontId="19" fillId="41" borderId="11"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ReclassementLAP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7">
    <dxf>
      <fill>
        <patternFill>
          <bgColor indexed="41"/>
        </patternFill>
      </fill>
    </dxf>
    <dxf>
      <font>
        <b/>
        <i/>
      </font>
      <fill>
        <patternFill>
          <bgColor indexed="26"/>
        </patternFill>
      </fill>
    </dxf>
    <dxf>
      <font>
        <b/>
        <i val="0"/>
      </font>
      <fill>
        <patternFill>
          <bgColor indexed="26"/>
        </patternFill>
      </fill>
    </dxf>
    <dxf>
      <font>
        <b/>
        <i val="0"/>
      </font>
      <fill>
        <patternFill>
          <bgColor indexed="35"/>
        </patternFill>
      </fill>
    </dxf>
    <dxf>
      <font>
        <b/>
        <i val="0"/>
      </font>
      <fill>
        <patternFill>
          <bgColor rgb="FF00FFFF"/>
        </patternFill>
      </fill>
      <border/>
    </dxf>
    <dxf>
      <font>
        <b/>
        <i val="0"/>
      </font>
      <fill>
        <patternFill>
          <bgColor rgb="FFFFFFC0"/>
        </patternFill>
      </fill>
      <border/>
    </dxf>
    <dxf>
      <font>
        <b/>
        <i/>
      </font>
      <fill>
        <patternFill>
          <bgColor rgb="FFFFFF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descr="b coul ombré"/>
        <xdr:cNvPicPr preferRelativeResize="1">
          <a:picLocks noChangeAspect="0"/>
        </xdr:cNvPicPr>
      </xdr:nvPicPr>
      <xdr:blipFill>
        <a:blip r:embed="rId1"/>
        <a:stretch>
          <a:fillRect/>
        </a:stretch>
      </xdr:blipFill>
      <xdr:spPr>
        <a:xfrm rot="480000">
          <a:off x="6019800"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428625</xdr:colOff>
      <xdr:row>1</xdr:row>
      <xdr:rowOff>171450</xdr:rowOff>
    </xdr:from>
    <xdr:to>
      <xdr:col>6</xdr:col>
      <xdr:colOff>1400175</xdr:colOff>
      <xdr:row>7</xdr:row>
      <xdr:rowOff>95250</xdr:rowOff>
    </xdr:to>
    <xdr:pic>
      <xdr:nvPicPr>
        <xdr:cNvPr id="1" name="Picture 66" descr="b coul ombré"/>
        <xdr:cNvPicPr preferRelativeResize="1">
          <a:picLocks noChangeAspect="0"/>
        </xdr:cNvPicPr>
      </xdr:nvPicPr>
      <xdr:blipFill>
        <a:blip r:embed="rId1"/>
        <a:stretch>
          <a:fillRect/>
        </a:stretch>
      </xdr:blipFill>
      <xdr:spPr>
        <a:xfrm rot="480000">
          <a:off x="6610350" y="466725"/>
          <a:ext cx="971550" cy="1171575"/>
        </a:xfrm>
        <a:prstGeom prst="rect">
          <a:avLst/>
        </a:prstGeom>
        <a:noFill/>
        <a:ln w="9525" cmpd="sng">
          <a:noFill/>
        </a:ln>
      </xdr:spPr>
    </xdr:pic>
    <xdr:clientData/>
  </xdr:twoCellAnchor>
  <xdr:twoCellAnchor editAs="oneCell">
    <xdr:from>
      <xdr:col>5</xdr:col>
      <xdr:colOff>266700</xdr:colOff>
      <xdr:row>3</xdr:row>
      <xdr:rowOff>123825</xdr:rowOff>
    </xdr:from>
    <xdr:to>
      <xdr:col>6</xdr:col>
      <xdr:colOff>447675</xdr:colOff>
      <xdr:row>7</xdr:row>
      <xdr:rowOff>123825</xdr:rowOff>
    </xdr:to>
    <xdr:pic>
      <xdr:nvPicPr>
        <xdr:cNvPr id="2" name="Picture 68" descr="U coul ombré"/>
        <xdr:cNvPicPr preferRelativeResize="1">
          <a:picLocks noChangeAspect="1"/>
        </xdr:cNvPicPr>
      </xdr:nvPicPr>
      <xdr:blipFill>
        <a:blip r:embed="rId2"/>
        <a:stretch>
          <a:fillRect/>
        </a:stretch>
      </xdr:blipFill>
      <xdr:spPr>
        <a:xfrm rot="21059827">
          <a:off x="5781675" y="962025"/>
          <a:ext cx="8477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xdr:row>
      <xdr:rowOff>104775</xdr:rowOff>
    </xdr:from>
    <xdr:to>
      <xdr:col>12</xdr:col>
      <xdr:colOff>723900</xdr:colOff>
      <xdr:row>12</xdr:row>
      <xdr:rowOff>161925</xdr:rowOff>
    </xdr:to>
    <xdr:pic>
      <xdr:nvPicPr>
        <xdr:cNvPr id="1" name="Picture 10"/>
        <xdr:cNvPicPr preferRelativeResize="1">
          <a:picLocks noChangeAspect="1"/>
        </xdr:cNvPicPr>
      </xdr:nvPicPr>
      <xdr:blipFill>
        <a:blip r:embed="rId1"/>
        <a:stretch>
          <a:fillRect/>
        </a:stretch>
      </xdr:blipFill>
      <xdr:spPr>
        <a:xfrm>
          <a:off x="8715375" y="942975"/>
          <a:ext cx="4248150" cy="2257425"/>
        </a:xfrm>
        <a:prstGeom prst="rect">
          <a:avLst/>
        </a:prstGeom>
        <a:noFill/>
        <a:ln w="9525" cmpd="sng">
          <a:noFill/>
        </a:ln>
      </xdr:spPr>
    </xdr:pic>
    <xdr:clientData/>
  </xdr:twoCellAnchor>
  <xdr:twoCellAnchor editAs="absolute">
    <xdr:from>
      <xdr:col>8</xdr:col>
      <xdr:colOff>857250</xdr:colOff>
      <xdr:row>16</xdr:row>
      <xdr:rowOff>180975</xdr:rowOff>
    </xdr:from>
    <xdr:to>
      <xdr:col>10</xdr:col>
      <xdr:colOff>57150</xdr:colOff>
      <xdr:row>21</xdr:row>
      <xdr:rowOff>142875</xdr:rowOff>
    </xdr:to>
    <xdr:pic>
      <xdr:nvPicPr>
        <xdr:cNvPr id="2" name="Picture 66" descr="b coul ombré"/>
        <xdr:cNvPicPr preferRelativeResize="1">
          <a:picLocks noChangeAspect="0"/>
        </xdr:cNvPicPr>
      </xdr:nvPicPr>
      <xdr:blipFill>
        <a:blip r:embed="rId2"/>
        <a:stretch>
          <a:fillRect/>
        </a:stretch>
      </xdr:blipFill>
      <xdr:spPr>
        <a:xfrm rot="480000">
          <a:off x="9553575" y="4257675"/>
          <a:ext cx="971550" cy="1171575"/>
        </a:xfrm>
        <a:prstGeom prst="rect">
          <a:avLst/>
        </a:prstGeom>
        <a:noFill/>
        <a:ln w="9525" cmpd="sng">
          <a:noFill/>
        </a:ln>
      </xdr:spPr>
    </xdr:pic>
    <xdr:clientData/>
  </xdr:twoCellAnchor>
  <xdr:twoCellAnchor editAs="oneCell">
    <xdr:from>
      <xdr:col>8</xdr:col>
      <xdr:colOff>0</xdr:colOff>
      <xdr:row>19</xdr:row>
      <xdr:rowOff>57150</xdr:rowOff>
    </xdr:from>
    <xdr:to>
      <xdr:col>8</xdr:col>
      <xdr:colOff>857250</xdr:colOff>
      <xdr:row>21</xdr:row>
      <xdr:rowOff>209550</xdr:rowOff>
    </xdr:to>
    <xdr:pic>
      <xdr:nvPicPr>
        <xdr:cNvPr id="3" name="Picture 68" descr="U coul ombré"/>
        <xdr:cNvPicPr preferRelativeResize="1">
          <a:picLocks noChangeAspect="1"/>
        </xdr:cNvPicPr>
      </xdr:nvPicPr>
      <xdr:blipFill>
        <a:blip r:embed="rId3"/>
        <a:stretch>
          <a:fillRect/>
        </a:stretch>
      </xdr:blipFill>
      <xdr:spPr>
        <a:xfrm rot="21059827">
          <a:off x="8696325" y="4810125"/>
          <a:ext cx="8572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1</xdr:row>
      <xdr:rowOff>104775</xdr:rowOff>
    </xdr:from>
    <xdr:to>
      <xdr:col>3</xdr:col>
      <xdr:colOff>485775</xdr:colOff>
      <xdr:row>13</xdr:row>
      <xdr:rowOff>9525</xdr:rowOff>
    </xdr:to>
    <xdr:sp>
      <xdr:nvSpPr>
        <xdr:cNvPr id="1" name="Connecteur droit 2"/>
        <xdr:cNvSpPr>
          <a:spLocks/>
        </xdr:cNvSpPr>
      </xdr:nvSpPr>
      <xdr:spPr>
        <a:xfrm flipH="1">
          <a:off x="6772275" y="676275"/>
          <a:ext cx="9525" cy="8143875"/>
        </a:xfrm>
        <a:prstGeom prst="line">
          <a:avLst/>
        </a:prstGeom>
        <a:solidFill>
          <a:srgbClr val="FFFFFF"/>
        </a:solidFill>
        <a:ln w="25400" cmpd="sng">
          <a:solidFill>
            <a:srgbClr val="37609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3</xdr:col>
      <xdr:colOff>123825</xdr:colOff>
      <xdr:row>2</xdr:row>
      <xdr:rowOff>428625</xdr:rowOff>
    </xdr:from>
    <xdr:to>
      <xdr:col>3</xdr:col>
      <xdr:colOff>723900</xdr:colOff>
      <xdr:row>2</xdr:row>
      <xdr:rowOff>428625</xdr:rowOff>
    </xdr:to>
    <xdr:sp>
      <xdr:nvSpPr>
        <xdr:cNvPr id="2" name="Connecteur droit avec flèche 4"/>
        <xdr:cNvSpPr>
          <a:spLocks/>
        </xdr:cNvSpPr>
      </xdr:nvSpPr>
      <xdr:spPr>
        <a:xfrm>
          <a:off x="6419850" y="1304925"/>
          <a:ext cx="609600" cy="0"/>
        </a:xfrm>
        <a:prstGeom prst="straightConnector1">
          <a:avLst/>
        </a:prstGeom>
        <a:solidFill>
          <a:srgbClr val="FFFFFF"/>
        </a:solid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Les-remunerations-" TargetMode="External" /><Relationship Id="rId5" Type="http://schemas.openxmlformats.org/officeDocument/2006/relationships/hyperlink" Target="http://www.snuipp.fr/-Les-prestations-" TargetMode="External" /><Relationship Id="rId6" Type="http://schemas.openxmlformats.org/officeDocument/2006/relationships/drawing" Target="../drawings/drawing3.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showGridLines="0" showRowColHeaders="0" tabSelected="1" zoomScale="96" zoomScaleNormal="96" zoomScalePageLayoutView="0" workbookViewId="0" topLeftCell="A1">
      <selection activeCell="B3" sqref="B3:D3"/>
    </sheetView>
  </sheetViews>
  <sheetFormatPr defaultColWidth="11.625" defaultRowHeight="12.75"/>
  <cols>
    <col min="1" max="1" width="20.625" style="98" customWidth="1"/>
    <col min="2" max="2" width="48.75390625" style="98" customWidth="1"/>
    <col min="3" max="9" width="11.625" style="98" customWidth="1"/>
    <col min="10" max="10" width="3.875" style="98" customWidth="1"/>
    <col min="11" max="16384" width="11.625" style="98" customWidth="1"/>
  </cols>
  <sheetData>
    <row r="1" spans="1:11" s="11" customFormat="1" ht="23.25">
      <c r="A1" s="216"/>
      <c r="B1" s="232" t="s">
        <v>112</v>
      </c>
      <c r="C1" s="232"/>
      <c r="D1" s="232"/>
      <c r="E1" s="232"/>
      <c r="F1" s="232"/>
      <c r="G1" s="232"/>
      <c r="H1" s="233">
        <v>39752</v>
      </c>
      <c r="I1" s="233"/>
      <c r="J1" s="233"/>
      <c r="K1" s="182"/>
    </row>
    <row r="2" spans="2:10" s="11" customFormat="1" ht="18.75" thickBot="1">
      <c r="B2" s="13" t="s">
        <v>54</v>
      </c>
      <c r="H2" s="230" t="s">
        <v>120</v>
      </c>
      <c r="I2" s="230"/>
      <c r="J2" s="12"/>
    </row>
    <row r="3" spans="2:10" s="11" customFormat="1" ht="24" thickBot="1">
      <c r="B3" s="240" t="s">
        <v>98</v>
      </c>
      <c r="C3" s="241"/>
      <c r="D3" s="242"/>
      <c r="G3" s="14" t="s">
        <v>0</v>
      </c>
      <c r="H3" s="15">
        <v>38898</v>
      </c>
      <c r="I3" s="16">
        <v>55.5635</v>
      </c>
      <c r="J3" s="12"/>
    </row>
    <row r="4" spans="2:10" s="11" customFormat="1" ht="14.25" customHeight="1">
      <c r="B4" s="17"/>
      <c r="C4" s="18"/>
      <c r="D4" s="18"/>
      <c r="E4" s="19"/>
      <c r="F4" s="19"/>
      <c r="G4" s="19"/>
      <c r="H4" s="20" t="s">
        <v>114</v>
      </c>
      <c r="I4" s="21">
        <f>ROUND(I3/12,2)</f>
        <v>4.63</v>
      </c>
      <c r="J4" s="12"/>
    </row>
    <row r="5" spans="2:10" s="11" customFormat="1" ht="14.25" customHeight="1">
      <c r="B5" s="17"/>
      <c r="C5" s="18"/>
      <c r="D5" s="18"/>
      <c r="E5" s="19"/>
      <c r="F5" s="19"/>
      <c r="G5" s="19"/>
      <c r="H5" s="20"/>
      <c r="I5" s="21"/>
      <c r="J5" s="12"/>
    </row>
    <row r="6" spans="1:10" s="11" customFormat="1" ht="14.25" customHeight="1" thickBot="1">
      <c r="A6" s="247" t="s">
        <v>96</v>
      </c>
      <c r="B6" s="247"/>
      <c r="C6" s="247"/>
      <c r="D6" s="18"/>
      <c r="E6" s="102"/>
      <c r="F6" s="102"/>
      <c r="G6" s="102"/>
      <c r="H6" s="103"/>
      <c r="I6" s="104"/>
      <c r="J6" s="115"/>
    </row>
    <row r="7" spans="1:10" s="11" customFormat="1" ht="28.5" customHeight="1" thickBot="1">
      <c r="A7" s="247"/>
      <c r="B7" s="247"/>
      <c r="C7" s="247"/>
      <c r="D7" s="18"/>
      <c r="E7" s="248" t="s">
        <v>130</v>
      </c>
      <c r="F7" s="248"/>
      <c r="G7" s="248"/>
      <c r="H7" s="249"/>
      <c r="I7" s="22"/>
      <c r="J7" s="115"/>
    </row>
    <row r="8" spans="1:10" s="11" customFormat="1" ht="27.75" customHeight="1" thickBot="1">
      <c r="A8" s="247"/>
      <c r="B8" s="247"/>
      <c r="C8" s="247"/>
      <c r="D8" s="18"/>
      <c r="E8" s="234" t="s">
        <v>136</v>
      </c>
      <c r="F8" s="234"/>
      <c r="G8" s="234"/>
      <c r="H8" s="235"/>
      <c r="I8" s="23"/>
      <c r="J8" s="115"/>
    </row>
    <row r="9" spans="2:10" s="11" customFormat="1" ht="14.25" customHeight="1">
      <c r="B9" s="17"/>
      <c r="C9" s="17"/>
      <c r="D9" s="17"/>
      <c r="E9" s="24"/>
      <c r="F9" s="24"/>
      <c r="G9" s="25"/>
      <c r="H9" s="105"/>
      <c r="I9" s="96"/>
      <c r="J9" s="115"/>
    </row>
    <row r="10" spans="2:10" s="11" customFormat="1" ht="23.25">
      <c r="B10" s="79" t="s">
        <v>94</v>
      </c>
      <c r="C10" s="80"/>
      <c r="D10" s="80"/>
      <c r="E10" s="26"/>
      <c r="F10" s="17"/>
      <c r="G10" s="17"/>
      <c r="H10" s="17"/>
      <c r="I10" s="17"/>
      <c r="J10" s="12"/>
    </row>
    <row r="11" spans="2:10" s="11" customFormat="1" ht="24" thickBot="1">
      <c r="B11" s="81"/>
      <c r="C11" s="81"/>
      <c r="D11" s="81"/>
      <c r="E11" s="27"/>
      <c r="F11" s="81"/>
      <c r="G11" s="81"/>
      <c r="H11" s="79" t="s">
        <v>87</v>
      </c>
      <c r="I11" s="85"/>
      <c r="J11" s="12"/>
    </row>
    <row r="12" spans="2:10" s="11" customFormat="1" ht="13.5" thickBot="1">
      <c r="B12" s="82" t="s">
        <v>44</v>
      </c>
      <c r="C12" s="91"/>
      <c r="D12" s="84"/>
      <c r="E12" s="27"/>
      <c r="F12" s="81"/>
      <c r="G12" s="81"/>
      <c r="H12" s="17"/>
      <c r="I12" s="85"/>
      <c r="J12" s="12"/>
    </row>
    <row r="13" spans="2:10" s="11" customFormat="1" ht="14.25" customHeight="1" thickBot="1">
      <c r="B13" s="82" t="s">
        <v>2</v>
      </c>
      <c r="C13" s="91"/>
      <c r="D13" s="215"/>
      <c r="E13" s="217"/>
      <c r="F13" s="218"/>
      <c r="G13" s="218"/>
      <c r="H13" s="219" t="s">
        <v>131</v>
      </c>
      <c r="I13" s="112">
        <v>658</v>
      </c>
      <c r="J13" s="12"/>
    </row>
    <row r="14" spans="2:10" s="11" customFormat="1" ht="14.25" customHeight="1" thickBot="1">
      <c r="B14" s="82" t="s">
        <v>4</v>
      </c>
      <c r="C14" s="91"/>
      <c r="D14" s="84"/>
      <c r="E14" s="226"/>
      <c r="F14" s="227"/>
      <c r="G14" s="227"/>
      <c r="H14" s="219" t="s">
        <v>47</v>
      </c>
      <c r="I14" s="113"/>
      <c r="J14" s="12"/>
    </row>
    <row r="15" spans="2:10" s="11" customFormat="1" ht="14.25" customHeight="1" thickBot="1">
      <c r="B15" s="82" t="s">
        <v>6</v>
      </c>
      <c r="C15" s="91"/>
      <c r="D15" s="84"/>
      <c r="E15" s="29"/>
      <c r="F15" s="107"/>
      <c r="G15" s="107"/>
      <c r="H15" s="87" t="s">
        <v>46</v>
      </c>
      <c r="I15" s="88">
        <f>SUM(I13:I14)</f>
        <v>658</v>
      </c>
      <c r="J15" s="12"/>
    </row>
    <row r="16" spans="2:10" s="11" customFormat="1" ht="14.25" customHeight="1" thickBot="1">
      <c r="B16" s="82" t="s">
        <v>109</v>
      </c>
      <c r="C16" s="91"/>
      <c r="D16" s="84"/>
      <c r="E16" s="223"/>
      <c r="F16" s="106"/>
      <c r="G16" s="106"/>
      <c r="H16" s="86" t="s">
        <v>1</v>
      </c>
      <c r="I16" s="91"/>
      <c r="J16" s="12"/>
    </row>
    <row r="17" spans="2:13" s="11" customFormat="1" ht="14.25" customHeight="1" thickBot="1">
      <c r="B17" s="82" t="s">
        <v>110</v>
      </c>
      <c r="C17" s="91"/>
      <c r="D17" s="84"/>
      <c r="E17" s="28"/>
      <c r="F17" s="106"/>
      <c r="G17" s="106"/>
      <c r="H17" s="86" t="s">
        <v>3</v>
      </c>
      <c r="I17" s="91"/>
      <c r="J17" s="12"/>
      <c r="M17" s="38"/>
    </row>
    <row r="18" spans="2:10" s="11" customFormat="1" ht="14.25" customHeight="1" thickBot="1">
      <c r="B18" s="250" t="s">
        <v>77</v>
      </c>
      <c r="C18" s="251">
        <f>SUM(C12:C15)</f>
        <v>0</v>
      </c>
      <c r="D18" s="83"/>
      <c r="E18" s="225"/>
      <c r="F18" s="106"/>
      <c r="G18" s="106"/>
      <c r="H18" s="86" t="s">
        <v>5</v>
      </c>
      <c r="I18" s="93"/>
      <c r="J18" s="12"/>
    </row>
    <row r="19" spans="2:13" s="11" customFormat="1" ht="14.25" customHeight="1" thickBot="1">
      <c r="B19" s="250"/>
      <c r="C19" s="252"/>
      <c r="D19" s="83"/>
      <c r="E19" s="28"/>
      <c r="F19" s="106"/>
      <c r="G19" s="106"/>
      <c r="H19" s="86" t="s">
        <v>7</v>
      </c>
      <c r="I19" s="93"/>
      <c r="J19" s="12"/>
      <c r="M19" s="224"/>
    </row>
    <row r="20" spans="2:10" s="11" customFormat="1" ht="14.25" customHeight="1" thickBot="1">
      <c r="B20" s="82" t="s">
        <v>8</v>
      </c>
      <c r="C20" s="91" t="s">
        <v>76</v>
      </c>
      <c r="D20" s="84"/>
      <c r="E20" s="223"/>
      <c r="F20" s="106"/>
      <c r="G20" s="106"/>
      <c r="H20" s="86" t="s">
        <v>53</v>
      </c>
      <c r="I20" s="94"/>
      <c r="J20" s="12"/>
    </row>
    <row r="21" spans="2:10" s="11" customFormat="1" ht="14.25" customHeight="1" thickBot="1">
      <c r="B21" s="82" t="s">
        <v>65</v>
      </c>
      <c r="C21" s="92">
        <v>100</v>
      </c>
      <c r="D21" s="84" t="s">
        <v>80</v>
      </c>
      <c r="E21" s="28"/>
      <c r="F21" s="106"/>
      <c r="G21" s="106"/>
      <c r="H21" s="86" t="s">
        <v>52</v>
      </c>
      <c r="I21" s="94"/>
      <c r="J21" s="12"/>
    </row>
    <row r="22" spans="2:10" s="11" customFormat="1" ht="13.5" customHeight="1" thickBot="1">
      <c r="B22" s="82"/>
      <c r="C22" s="110"/>
      <c r="D22" s="80"/>
      <c r="E22" s="27"/>
      <c r="F22" s="81"/>
      <c r="G22" s="81"/>
      <c r="H22" s="82"/>
      <c r="I22" s="35"/>
      <c r="J22" s="12"/>
    </row>
    <row r="23" spans="2:10" s="11" customFormat="1" ht="21" customHeight="1">
      <c r="B23" s="79" t="s">
        <v>95</v>
      </c>
      <c r="C23" s="80"/>
      <c r="D23" s="35"/>
      <c r="E23" s="243" t="s">
        <v>91</v>
      </c>
      <c r="F23" s="243"/>
      <c r="G23" s="243"/>
      <c r="H23" s="244"/>
      <c r="I23" s="245"/>
      <c r="J23" s="239" t="s">
        <v>80</v>
      </c>
    </row>
    <row r="24" spans="1:10" s="11" customFormat="1" ht="14.25" customHeight="1" thickBot="1">
      <c r="A24" s="30"/>
      <c r="B24" s="82"/>
      <c r="C24" s="110"/>
      <c r="D24" s="35"/>
      <c r="E24" s="243"/>
      <c r="F24" s="243"/>
      <c r="G24" s="243"/>
      <c r="H24" s="244"/>
      <c r="I24" s="246"/>
      <c r="J24" s="239"/>
    </row>
    <row r="25" spans="2:10" s="11" customFormat="1" ht="14.25" customHeight="1" thickBot="1">
      <c r="B25" s="82" t="s">
        <v>93</v>
      </c>
      <c r="C25" s="91" t="s">
        <v>76</v>
      </c>
      <c r="D25" s="84"/>
      <c r="E25" s="109"/>
      <c r="F25" s="109"/>
      <c r="G25" s="109"/>
      <c r="H25" s="109"/>
      <c r="I25" s="108"/>
      <c r="J25" s="110"/>
    </row>
    <row r="26" spans="2:10" s="11" customFormat="1" ht="14.25" customHeight="1" thickBot="1">
      <c r="B26" s="82" t="s">
        <v>118</v>
      </c>
      <c r="C26" s="91" t="s">
        <v>76</v>
      </c>
      <c r="D26" s="84"/>
      <c r="E26" s="27"/>
      <c r="F26" s="81"/>
      <c r="G26" s="81"/>
      <c r="H26" s="81"/>
      <c r="I26" s="89" t="s">
        <v>88</v>
      </c>
      <c r="J26" s="12"/>
    </row>
    <row r="27" spans="2:10" s="11" customFormat="1" ht="13.5" thickBot="1">
      <c r="B27" s="82" t="s">
        <v>75</v>
      </c>
      <c r="C27" s="91" t="s">
        <v>76</v>
      </c>
      <c r="D27" s="84"/>
      <c r="E27" s="81"/>
      <c r="F27" s="81"/>
      <c r="G27" s="81"/>
      <c r="H27" s="86" t="s">
        <v>9</v>
      </c>
      <c r="I27" s="93"/>
      <c r="J27" s="12"/>
    </row>
    <row r="28" spans="2:10" s="11" customFormat="1" ht="13.5" thickBot="1">
      <c r="B28" s="82" t="s">
        <v>92</v>
      </c>
      <c r="C28" s="91" t="s">
        <v>76</v>
      </c>
      <c r="D28" s="84"/>
      <c r="H28" s="86" t="s">
        <v>23</v>
      </c>
      <c r="I28" s="93"/>
      <c r="J28" s="12"/>
    </row>
    <row r="29" spans="2:11" s="31" customFormat="1" ht="14.25" customHeight="1">
      <c r="B29" s="11"/>
      <c r="C29" s="11"/>
      <c r="D29" s="11"/>
      <c r="E29" s="11"/>
      <c r="F29" s="11"/>
      <c r="G29" s="11"/>
      <c r="H29" s="86"/>
      <c r="I29" s="114"/>
      <c r="J29" s="12"/>
      <c r="K29" s="214"/>
    </row>
    <row r="30" spans="2:10" s="11" customFormat="1" ht="14.25" customHeight="1" thickBot="1">
      <c r="B30" s="17"/>
      <c r="C30" s="17"/>
      <c r="D30" s="17"/>
      <c r="E30" s="17"/>
      <c r="F30" s="17"/>
      <c r="G30" s="17"/>
      <c r="H30" s="86"/>
      <c r="I30" s="114"/>
      <c r="J30" s="84"/>
    </row>
    <row r="31" spans="2:10" s="33" customFormat="1" ht="15.75" thickBot="1">
      <c r="B31" s="17"/>
      <c r="C31" s="82"/>
      <c r="D31" s="82"/>
      <c r="E31" s="81"/>
      <c r="F31" s="81"/>
      <c r="G31" s="81"/>
      <c r="H31" s="86" t="s">
        <v>89</v>
      </c>
      <c r="I31" s="93"/>
      <c r="J31" s="32"/>
    </row>
    <row r="32" spans="2:10" s="33" customFormat="1" ht="13.5" thickBot="1">
      <c r="B32" s="97"/>
      <c r="C32" s="34"/>
      <c r="D32" s="34"/>
      <c r="E32" s="82"/>
      <c r="F32" s="82"/>
      <c r="G32" s="82"/>
      <c r="H32" s="86" t="s">
        <v>79</v>
      </c>
      <c r="I32" s="93"/>
      <c r="J32" s="12"/>
    </row>
    <row r="33" spans="1:10" ht="15.75" thickBot="1">
      <c r="A33" s="100"/>
      <c r="B33" s="97"/>
      <c r="C33" s="34"/>
      <c r="D33" s="34"/>
      <c r="E33" s="82"/>
      <c r="F33" s="82"/>
      <c r="G33" s="82"/>
      <c r="H33" s="90" t="s">
        <v>121</v>
      </c>
      <c r="I33" s="95"/>
      <c r="J33" s="12"/>
    </row>
    <row r="34" spans="1:10" ht="15.75" thickBot="1">
      <c r="A34" s="100"/>
      <c r="B34" s="99"/>
      <c r="C34" s="101"/>
      <c r="D34" s="34"/>
      <c r="E34" s="82"/>
      <c r="F34" s="82"/>
      <c r="G34" s="82"/>
      <c r="H34" s="90"/>
      <c r="I34" s="35"/>
      <c r="J34" s="12"/>
    </row>
    <row r="35" spans="2:10" ht="27.75" thickBot="1">
      <c r="B35" s="236" t="s">
        <v>90</v>
      </c>
      <c r="C35" s="237"/>
      <c r="D35" s="237"/>
      <c r="E35" s="237"/>
      <c r="F35" s="237"/>
      <c r="G35" s="237"/>
      <c r="H35" s="237"/>
      <c r="I35" s="238"/>
      <c r="J35" s="12"/>
    </row>
    <row r="36" ht="15">
      <c r="J36" s="52"/>
    </row>
    <row r="39" ht="15">
      <c r="E39" s="111"/>
    </row>
  </sheetData>
  <sheetProtection selectLockedCells="1"/>
  <mergeCells count="12">
    <mergeCell ref="B18:B19"/>
    <mergeCell ref="C18:C19"/>
    <mergeCell ref="B1:G1"/>
    <mergeCell ref="H1:J1"/>
    <mergeCell ref="E8:H8"/>
    <mergeCell ref="B35:I35"/>
    <mergeCell ref="J23:J24"/>
    <mergeCell ref="B3:D3"/>
    <mergeCell ref="E23:H24"/>
    <mergeCell ref="I23:I24"/>
    <mergeCell ref="A6:C8"/>
    <mergeCell ref="E7:H7"/>
  </mergeCells>
  <dataValidations count="10">
    <dataValidation type="list" allowBlank="1" showInputMessage="1" showErrorMessage="1" sqref="C25:C28 D23:D24 C20">
      <formula1>"O,N"</formula1>
    </dataValidation>
    <dataValidation type="list" allowBlank="1" showInputMessage="1" showErrorMessage="1" sqref="I17">
      <formula1>"1,2,3"</formula1>
    </dataValidation>
    <dataValidation type="list" allowBlank="1" showInputMessage="1" sqref="C12:C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J23:J25 D21"/>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 allowBlank="1" showInputMessage="1" sqref="D12:D17"/>
    <dataValidation allowBlank="1" showInputMessage="1" showErrorMessage="1" sqref="D20"/>
  </dataValidations>
  <hyperlinks>
    <hyperlink ref="B35:I35" location="Traitement!A1" display="VOIR ET IMPRIMER LA FICHE DE PAIE"/>
    <hyperlink ref="E13:H13" location="'indices-indemnités'!A1" display="'indices-indemnités'!A1"/>
    <hyperlink ref="E14:H14" location="'indices-indemnités'!I1" display="Bonifications indiciaires (direction, instit spé, ...)"/>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7"/>
  <sheetViews>
    <sheetView showGridLines="0" showRowColHeaders="0" zoomScale="90" zoomScaleNormal="90" zoomScalePageLayoutView="0" workbookViewId="0" topLeftCell="A1">
      <selection activeCell="K31" sqref="K31"/>
    </sheetView>
  </sheetViews>
  <sheetFormatPr defaultColWidth="11.00390625" defaultRowHeight="12.75"/>
  <cols>
    <col min="1" max="1" width="2.75390625" style="11" customWidth="1"/>
    <col min="2" max="2" width="56.875" style="11" customWidth="1"/>
    <col min="3" max="3" width="5.25390625" style="11" customWidth="1"/>
    <col min="4" max="5" width="3.75390625" style="11" customWidth="1"/>
    <col min="6" max="6" width="8.75390625" style="11" customWidth="1"/>
    <col min="7" max="7" width="32.875" style="11" customWidth="1"/>
    <col min="8" max="8" width="13.75390625" style="46" customWidth="1"/>
    <col min="9" max="9" width="15.875" style="11" customWidth="1"/>
    <col min="10" max="10" width="3.75390625" style="11" customWidth="1"/>
    <col min="11" max="11" width="8.75390625" style="12" customWidth="1"/>
    <col min="12" max="12" width="6.75390625" style="11" customWidth="1"/>
    <col min="13" max="16384" width="11.375" style="11" customWidth="1"/>
  </cols>
  <sheetData>
    <row r="1" spans="1:11" ht="23.25">
      <c r="A1" s="10"/>
      <c r="B1" s="232" t="str">
        <f>Données!B1</f>
        <v>SNUipp/FSU Calcul traitement</v>
      </c>
      <c r="C1" s="232"/>
      <c r="D1" s="232"/>
      <c r="E1" s="232"/>
      <c r="F1" s="232"/>
      <c r="G1" s="232"/>
      <c r="H1" s="232"/>
      <c r="I1" s="232"/>
      <c r="J1" s="12"/>
      <c r="K1" s="11"/>
    </row>
    <row r="2" spans="2:11" ht="18.75" thickBot="1">
      <c r="B2" s="13" t="str">
        <f>Données!B2</f>
        <v>NOM                      Prénom</v>
      </c>
      <c r="H2" s="263" t="s">
        <v>113</v>
      </c>
      <c r="I2" s="263" t="str">
        <f>Données!H2</f>
        <v>valeur point indiciaire depuis</v>
      </c>
      <c r="J2" s="12"/>
      <c r="K2" s="11"/>
    </row>
    <row r="3" spans="2:11" ht="24" thickBot="1">
      <c r="B3" s="264" t="str">
        <f>Données!B3</f>
        <v>XXX</v>
      </c>
      <c r="C3" s="265"/>
      <c r="D3" s="265"/>
      <c r="E3" s="265"/>
      <c r="F3" s="266"/>
      <c r="G3" s="14"/>
      <c r="H3" s="15">
        <f>Données!H3</f>
        <v>38898</v>
      </c>
      <c r="I3" s="16">
        <f>Données!I3</f>
        <v>55.5635</v>
      </c>
      <c r="J3" s="12"/>
      <c r="K3" s="11"/>
    </row>
    <row r="4" spans="7:11" ht="14.25" customHeight="1">
      <c r="G4" s="19"/>
      <c r="H4" s="20" t="str">
        <f>Données!H4</f>
        <v>valeur brute indice mensuel</v>
      </c>
      <c r="I4" s="21">
        <f>Données!I4</f>
        <v>4.63</v>
      </c>
      <c r="J4" s="12"/>
      <c r="K4" s="11"/>
    </row>
    <row r="5" s="33" customFormat="1" ht="12.75"/>
    <row r="6" spans="2:8" ht="14.25" customHeight="1">
      <c r="B6" s="36" t="s">
        <v>78</v>
      </c>
      <c r="C6" s="253">
        <f>IF(Données!C21=80,Données!I3*Données!I15*85.7/100,IF(Données!C21&lt;&gt;"",Données!I3*Données!I15*Données!C21/100,Données!I3*Données!I15))</f>
        <v>36560.782999999996</v>
      </c>
      <c r="D6" s="253"/>
      <c r="E6" s="253"/>
      <c r="F6" s="36"/>
      <c r="G6" s="36"/>
      <c r="H6" s="36"/>
    </row>
    <row r="7" spans="2:11" s="33" customFormat="1" ht="14.25" customHeight="1">
      <c r="B7" s="36" t="s">
        <v>10</v>
      </c>
      <c r="C7" s="253">
        <f>IF(Données!C21=80,Données!I3*Données!I16*85.7/100,IF(Données!C21&lt;&gt;"",Données!I3*Données!I16*Données!C21/100,Données!I3*Données!I16))</f>
        <v>0</v>
      </c>
      <c r="D7" s="253"/>
      <c r="E7" s="253"/>
      <c r="F7" s="37"/>
      <c r="G7" s="36"/>
      <c r="H7" s="36"/>
      <c r="K7" s="12"/>
    </row>
    <row r="8" spans="2:8" ht="19.5" customHeight="1">
      <c r="B8" s="38"/>
      <c r="C8" s="38"/>
      <c r="D8" s="38"/>
      <c r="E8" s="38"/>
      <c r="F8" s="38"/>
      <c r="G8" s="38"/>
      <c r="H8" s="39"/>
    </row>
    <row r="9" spans="2:9" ht="12.75" customHeight="1">
      <c r="B9" s="40" t="s">
        <v>11</v>
      </c>
      <c r="C9" s="41"/>
      <c r="D9" s="41"/>
      <c r="E9" s="42"/>
      <c r="F9" s="42"/>
      <c r="G9" s="42"/>
      <c r="H9" s="42"/>
      <c r="I9" s="43" t="s">
        <v>27</v>
      </c>
    </row>
    <row r="10" spans="2:9" ht="6.75" customHeight="1">
      <c r="B10" s="40"/>
      <c r="C10" s="41"/>
      <c r="D10" s="41"/>
      <c r="E10" s="42"/>
      <c r="F10" s="42"/>
      <c r="G10" s="42"/>
      <c r="H10" s="42"/>
      <c r="I10" s="43"/>
    </row>
    <row r="11" spans="2:9" ht="13.5" customHeight="1">
      <c r="B11" s="38" t="s">
        <v>81</v>
      </c>
      <c r="C11" s="44"/>
      <c r="D11" s="44"/>
      <c r="E11" s="44"/>
      <c r="F11" s="44"/>
      <c r="G11" s="44"/>
      <c r="H11" s="45"/>
      <c r="I11" s="46">
        <f>IF(OR(Données!I7=1,Données!I7=""),ROUND(C6/12,2),IF(OR(Données!I7=30,Données!I7=31),ROUND(Données!I3*Données!I8*Données!C21/100/12*29/30,2)+ROUND(Données!I3*Données!I15*Données!C21/100/12/30,2),ROUND(Données!I3*Données!I8*Données!C21/100*(Données!I7-1)/30/12,2)+ROUND(Données!I3*Données!I15*Données!C21/100*(30-Données!I7+1)/30/12,2)))</f>
        <v>3046.73</v>
      </c>
    </row>
    <row r="12" spans="2:9" ht="13.5" customHeight="1">
      <c r="B12" s="11" t="s">
        <v>82</v>
      </c>
      <c r="C12" s="47"/>
      <c r="D12" s="47"/>
      <c r="E12" s="48"/>
      <c r="F12" s="48"/>
      <c r="G12" s="48"/>
      <c r="H12" s="45"/>
      <c r="I12" s="46">
        <f>ROUND(C7/12,2)</f>
        <v>0</v>
      </c>
    </row>
    <row r="13" spans="2:9" ht="13.5" customHeight="1">
      <c r="B13" s="11" t="s">
        <v>97</v>
      </c>
      <c r="C13" s="44"/>
      <c r="D13" s="44"/>
      <c r="E13" s="44"/>
      <c r="F13" s="44"/>
      <c r="G13" s="44"/>
      <c r="H13" s="49" t="str">
        <f>IF('taux prestations sociales'!E21=0," ",'taux prestations sociales'!E21)</f>
        <v> </v>
      </c>
      <c r="I13" s="46">
        <f>IF(Données!I23="",0,IF(Données!I23&gt;100,0,IF(Données!I23&lt;0,0,I11*Données!I23/100)))</f>
        <v>0</v>
      </c>
    </row>
    <row r="14" spans="2:9" ht="13.5" customHeight="1">
      <c r="B14" s="11" t="s">
        <v>43</v>
      </c>
      <c r="C14" s="44"/>
      <c r="D14" s="44"/>
      <c r="E14" s="44"/>
      <c r="F14" s="44"/>
      <c r="G14" s="44"/>
      <c r="H14" s="49" t="str">
        <f>IF('taux prestations sociales'!E22=0," ",'taux prestations sociales'!E22)</f>
        <v> </v>
      </c>
      <c r="I14" s="46">
        <f>'taux prestations sociales'!D22</f>
        <v>0</v>
      </c>
    </row>
    <row r="15" spans="2:9" ht="13.5" customHeight="1">
      <c r="B15" s="11" t="s">
        <v>24</v>
      </c>
      <c r="C15" s="44"/>
      <c r="D15" s="44"/>
      <c r="E15" s="48"/>
      <c r="F15" s="48"/>
      <c r="G15" s="48"/>
      <c r="H15" s="45"/>
      <c r="I15" s="50">
        <f>Données!I19</f>
        <v>0</v>
      </c>
    </row>
    <row r="16" spans="2:9" ht="13.5" customHeight="1">
      <c r="B16" s="11" t="s">
        <v>25</v>
      </c>
      <c r="C16" s="44"/>
      <c r="D16" s="44"/>
      <c r="E16" s="44"/>
      <c r="F16" s="44"/>
      <c r="G16" s="44"/>
      <c r="H16" s="45"/>
      <c r="I16" s="46">
        <f>SUM(Données!I20:I21)</f>
        <v>0</v>
      </c>
    </row>
    <row r="17" spans="2:9" ht="13.5" customHeight="1">
      <c r="B17" s="11" t="s">
        <v>32</v>
      </c>
      <c r="C17" s="44"/>
      <c r="D17" s="44"/>
      <c r="E17" s="48"/>
      <c r="F17" s="48"/>
      <c r="G17" s="48"/>
      <c r="H17" s="45"/>
      <c r="I17" s="50">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51" customFormat="1" ht="13.5" customHeight="1">
      <c r="B18" s="11" t="s">
        <v>12</v>
      </c>
      <c r="C18" s="44"/>
      <c r="D18" s="44"/>
      <c r="E18" s="44"/>
      <c r="F18" s="44"/>
      <c r="G18" s="44"/>
      <c r="H18" s="45"/>
      <c r="I18" s="46">
        <f>Données!I27</f>
        <v>0</v>
      </c>
      <c r="K18" s="52"/>
    </row>
    <row r="19" spans="3:9" ht="13.5" customHeight="1">
      <c r="C19" s="47"/>
      <c r="D19" s="47"/>
      <c r="E19" s="30"/>
      <c r="F19" s="30"/>
      <c r="G19" s="30"/>
      <c r="H19" s="30"/>
      <c r="I19" s="53"/>
    </row>
    <row r="20" spans="2:11" s="33" customFormat="1" ht="24" customHeight="1">
      <c r="B20" s="54" t="s">
        <v>13</v>
      </c>
      <c r="C20" s="55"/>
      <c r="D20" s="55"/>
      <c r="E20" s="55"/>
      <c r="F20" s="55"/>
      <c r="G20" s="55"/>
      <c r="H20" s="55"/>
      <c r="I20" s="56">
        <f>SUM(I11:I18)</f>
        <v>3046.73</v>
      </c>
      <c r="K20" s="12"/>
    </row>
    <row r="21" spans="8:9" ht="19.5" customHeight="1">
      <c r="H21" s="11"/>
      <c r="I21" s="46"/>
    </row>
    <row r="22" spans="2:9" ht="12.75" customHeight="1">
      <c r="B22" s="40" t="s">
        <v>14</v>
      </c>
      <c r="C22" s="41"/>
      <c r="D22" s="41"/>
      <c r="E22" s="41"/>
      <c r="F22" s="41"/>
      <c r="G22" s="41"/>
      <c r="H22" s="41"/>
      <c r="I22" s="57"/>
    </row>
    <row r="23" spans="2:9" ht="6.75" customHeight="1">
      <c r="B23" s="40"/>
      <c r="C23" s="41"/>
      <c r="D23" s="41"/>
      <c r="E23" s="41"/>
      <c r="F23" s="41"/>
      <c r="G23" s="41"/>
      <c r="H23" s="41"/>
      <c r="I23" s="57"/>
    </row>
    <row r="24" spans="2:11" ht="13.5" customHeight="1">
      <c r="B24" s="213" t="str">
        <f>"Pension civile ("&amp;'plafonds et taux'!C8*100&amp;"% du traitement brut) hors majoration éventuelle"</f>
        <v>Pension civile (8,76% du traitement brut) hors majoration éventuelle</v>
      </c>
      <c r="C24" s="44"/>
      <c r="D24" s="44"/>
      <c r="E24" s="44"/>
      <c r="F24" s="44"/>
      <c r="G24" s="44"/>
      <c r="H24" s="44"/>
      <c r="I24" s="46">
        <f>ROUND((I11*'plafonds et taux'!C8),2)</f>
        <v>266.89</v>
      </c>
      <c r="J24" s="254"/>
      <c r="K24" s="254"/>
    </row>
    <row r="25" spans="2:11" ht="13.5" customHeight="1">
      <c r="B25" s="11" t="str">
        <f>"Pension civile NBI ("&amp;'plafonds et taux'!C8*100&amp;"% du traitement brut)"</f>
        <v>Pension civile NBI (8,76% du traitement brut)</v>
      </c>
      <c r="C25" s="44"/>
      <c r="D25" s="44"/>
      <c r="H25" s="11"/>
      <c r="I25" s="46">
        <f>ROUND((I12*'plafonds et taux'!C8),2)</f>
        <v>0</v>
      </c>
      <c r="J25" s="254"/>
      <c r="K25" s="254"/>
    </row>
    <row r="26" spans="2:11" ht="13.5" customHeight="1">
      <c r="B26" s="11" t="str">
        <f>"CSG non déductible ("&amp;'plafonds et taux'!C12*100&amp;"% de "&amp;'plafonds et taux'!C9*100&amp;"% de l'ensemble des revenus (hors ISSR mais dont IRL)+ 7,5% de "&amp;'plafonds et taux'!C9*100&amp;"% de l'ISSR)"</f>
        <v>CSG non déductible (2,4% de 98,25% de l'ensemble des revenus (hors ISSR mais dont IRL)+ 7,5% de 98,25% de l'ISSR)</v>
      </c>
      <c r="C26" s="44"/>
      <c r="D26" s="44"/>
      <c r="E26" s="44"/>
      <c r="F26" s="44"/>
      <c r="G26" s="44"/>
      <c r="H26" s="44"/>
      <c r="I26" s="46">
        <f>ROUND((I11+I12+I13+I14+I16+I17+I18+Données!I18-Données!I33-Données!I31)*'plafonds et taux'!C9*'plafonds et taux'!C12,2)+ROUNDDOWN(Données!I19*'plafonds et taux'!C9*('plafonds et taux'!C11+'plafonds et taux'!C12)*100,2)</f>
        <v>71.84</v>
      </c>
      <c r="J26" s="254"/>
      <c r="K26" s="254"/>
    </row>
    <row r="27" spans="2:11" ht="13.5" customHeight="1">
      <c r="B27" s="11" t="str">
        <f>"CSG déductible ("&amp;'plafonds et taux'!C11*100&amp;"% de "&amp;'plafonds et taux'!C9*100&amp;"% de l'ensemble des revenus (hors ISSR mais dont IRL))"</f>
        <v>CSG déductible (5,1% de 98,25% de l'ensemble des revenus (hors ISSR mais dont IRL))</v>
      </c>
      <c r="C27" s="44"/>
      <c r="D27" s="44"/>
      <c r="H27" s="11"/>
      <c r="I27" s="46">
        <f>ROUND((I11+I12+I13+I14+I16+I17+I18+Données!I18-Données!I33-Données!I31)*'plafonds et taux'!C9*'plafonds et taux'!C11,2)</f>
        <v>152.66</v>
      </c>
      <c r="J27" s="254"/>
      <c r="K27" s="254"/>
    </row>
    <row r="28" spans="2:12" ht="13.5" customHeight="1" thickBot="1">
      <c r="B28" s="11" t="str">
        <f>"RDS (0,5% de "&amp;'plafonds et taux'!C9*100&amp;"% de l'ensemble des revenus (dont IRL)"</f>
        <v>RDS (0,5% de 98,25% de l'ensemble des revenus (dont IRL)</v>
      </c>
      <c r="C28" s="44"/>
      <c r="D28" s="44"/>
      <c r="E28" s="44"/>
      <c r="F28" s="44"/>
      <c r="G28" s="44"/>
      <c r="H28" s="44"/>
      <c r="I28" s="46">
        <f>ROUND(((((I11+I12+I13+I14+I15+I16+I17+I18+Données!I18-Données!I33-Données!I31)*'plafonds et taux'!C9)*'plafonds et taux'!C13)),2)</f>
        <v>14.97</v>
      </c>
      <c r="L28" s="58"/>
    </row>
    <row r="29" spans="2:13" ht="13.5" customHeight="1" thickBot="1">
      <c r="B29" s="11" t="s">
        <v>83</v>
      </c>
      <c r="C29" s="44"/>
      <c r="D29" s="44"/>
      <c r="H29" s="11"/>
      <c r="I29" s="46">
        <f>IF(K29&lt;&gt;"",K29,IF(((I14+I13+I16+I17+Données!I18-Données!I31)*0.05)&lt;0,0,IF(Données!C21&lt;&gt;"",MIN(Données!I3*Données!I13*Données!C21/100*0.2,ROUND((I14+I13+I16+I17+Données!I18-Données!I31)*0.05,2)),MIN(Données!I3*Données!I13*0.2,ROUND((I14+I13+I16+I17+Données!I18-Données!I31)*0.05,2)))))</f>
        <v>0</v>
      </c>
      <c r="J29" s="10" t="s">
        <v>51</v>
      </c>
      <c r="K29" s="59"/>
      <c r="L29" s="60"/>
      <c r="M29" s="60"/>
    </row>
    <row r="30" spans="2:13" ht="13.5" customHeight="1" thickBot="1">
      <c r="B30" s="11" t="s">
        <v>50</v>
      </c>
      <c r="C30" s="44"/>
      <c r="D30" s="44"/>
      <c r="H30" s="11"/>
      <c r="I30" s="46">
        <f>IF((I11+I12+I13-I24-I25-I29)&gt;'taux prestations sociales'!D20,ROUNDDOWN((I11+I12+I13+I14+I16+I17+I18-Données!I33-Données!I31-I29-I24-I25-I18*7.85/100)*0.01,2),0)</f>
        <v>27.79</v>
      </c>
      <c r="K30" s="61"/>
      <c r="L30" s="60"/>
      <c r="M30" s="60"/>
    </row>
    <row r="31" spans="2:13" ht="13.5" customHeight="1" thickBot="1">
      <c r="B31" s="11" t="str">
        <f>"MGEN ("&amp;'taux prestations sociales'!F26&amp;"% de (traitement brut + indemnités sauf IRL et indemnités d'enseignement)) + cotis enfants/conjoint éventuellement"</f>
        <v>MGEN (2,97% de (traitement brut + indemnités sauf IRL et indemnités d'enseignement)) + cotis enfants/conjoint éventuellement</v>
      </c>
      <c r="C31" s="44"/>
      <c r="D31" s="44"/>
      <c r="E31" s="44"/>
      <c r="F31" s="44"/>
      <c r="G31" s="44"/>
      <c r="H31" s="44"/>
      <c r="I31" s="46">
        <f>IF(Données!C25="N",0,IF(K31&lt;&gt;"",K31,IF(AND(Données!C27="O",Données!C28="O"),ROUND(((I11+I12+I13+I14+Données!I19+Données!I20+I17)*'taux prestations sociales'!F25),2)+Données!C16*'taux prestations sociales'!D29+Données!C17*'taux prestations sociales'!D30+ROUND(((I11+I12+I13+I14+Données!I19+Données!I20+I17)*'taux prestations sociales'!F25),2)*'taux prestations sociales'!D31,IF(AND(Données!C27="O",Données!C28&lt;&gt;"O"),ROUND(((I11+I12+I13+I14+Données!I19+Données!I20+I17)*'taux prestations sociales'!F25),2)+Données!C16*'taux prestations sociales'!D29+Données!C17*'taux prestations sociales'!D30,IF(AND(Données!C27&lt;&gt;"O",Données!C28="O"),ROUND(((I11+I12+I13+I14+Données!I19+Données!I20+I17)*'taux prestations sociales'!F25),2)+ROUND(((I11+I12+I13+I14+Données!I19+Données!I20+I17)*'taux prestations sociales'!F25),2)*'taux prestations sociales'!D31,ROUND(((I11+I12+I13+I14+Données!I19+Données!I20+I17)*'taux prestations sociales'!F25),2))))))</f>
        <v>0</v>
      </c>
      <c r="J31" s="10" t="s">
        <v>51</v>
      </c>
      <c r="K31" s="59"/>
      <c r="L31" s="60"/>
      <c r="M31" s="60"/>
    </row>
    <row r="32" spans="2:11" s="51" customFormat="1" ht="13.5" customHeight="1">
      <c r="B32" s="17" t="str">
        <f>"Régulation cotisations AC AA ("&amp;'plafonds et taux'!C8*100&amp;" du rappel rémunération + MGEN le cas échéant)"</f>
        <v>Régulation cotisations AC AA (8,76 du rappel rémunération + MGEN le cas échéant)</v>
      </c>
      <c r="C32" s="62"/>
      <c r="D32" s="62"/>
      <c r="E32" s="17"/>
      <c r="F32" s="17"/>
      <c r="G32" s="17"/>
      <c r="H32" s="17"/>
      <c r="I32" s="50">
        <f>Données!I28</f>
        <v>0</v>
      </c>
      <c r="J32" s="11"/>
      <c r="K32" s="61"/>
    </row>
    <row r="33" spans="2:11" ht="13.5" customHeight="1">
      <c r="B33" s="11" t="s">
        <v>15</v>
      </c>
      <c r="C33" s="44"/>
      <c r="D33" s="44"/>
      <c r="E33" s="44"/>
      <c r="F33" s="44"/>
      <c r="G33" s="44"/>
      <c r="H33" s="44"/>
      <c r="I33" s="46">
        <f>Données!I32+Données!I31</f>
        <v>0</v>
      </c>
      <c r="J33" s="51"/>
      <c r="K33" s="52"/>
    </row>
    <row r="34" spans="1:11" s="63" customFormat="1" ht="13.5" customHeight="1">
      <c r="A34" s="51"/>
      <c r="B34" s="11" t="s">
        <v>135</v>
      </c>
      <c r="C34" s="44"/>
      <c r="D34" s="44"/>
      <c r="E34" s="44"/>
      <c r="F34" s="44"/>
      <c r="G34" s="44"/>
      <c r="H34" s="44"/>
      <c r="I34" s="46">
        <f>Données!I33</f>
        <v>0</v>
      </c>
      <c r="J34" s="11"/>
      <c r="K34" s="12"/>
    </row>
    <row r="35" spans="8:11" ht="25.5" customHeight="1">
      <c r="H35" s="11"/>
      <c r="I35" s="46"/>
      <c r="J35" s="63"/>
      <c r="K35" s="65"/>
    </row>
    <row r="36" spans="2:9" ht="20.25" customHeight="1">
      <c r="B36" s="54" t="s">
        <v>16</v>
      </c>
      <c r="C36" s="64"/>
      <c r="D36" s="64"/>
      <c r="E36" s="64"/>
      <c r="F36" s="64"/>
      <c r="G36" s="64"/>
      <c r="H36" s="64"/>
      <c r="I36" s="56">
        <f>SUM(I24:I33)+I34</f>
        <v>534.15</v>
      </c>
    </row>
    <row r="37" spans="2:11" s="31" customFormat="1" ht="24.75" customHeight="1">
      <c r="B37" s="11"/>
      <c r="C37" s="11"/>
      <c r="D37" s="11"/>
      <c r="E37" s="11"/>
      <c r="F37" s="11"/>
      <c r="G37" s="11"/>
      <c r="H37" s="11"/>
      <c r="I37" s="46"/>
      <c r="J37" s="11"/>
      <c r="K37" s="12"/>
    </row>
    <row r="38" spans="2:11" s="31" customFormat="1" ht="20.25" customHeight="1">
      <c r="B38" s="54" t="s">
        <v>84</v>
      </c>
      <c r="C38" s="66"/>
      <c r="D38" s="66"/>
      <c r="E38" s="66"/>
      <c r="F38" s="66"/>
      <c r="G38" s="66"/>
      <c r="H38" s="268">
        <f>I20-I36</f>
        <v>2512.58</v>
      </c>
      <c r="I38" s="269"/>
      <c r="K38" s="32"/>
    </row>
    <row r="39" spans="2:11" s="71" customFormat="1" ht="20.25" customHeight="1">
      <c r="B39" s="67"/>
      <c r="C39" s="13"/>
      <c r="D39" s="13"/>
      <c r="E39" s="43"/>
      <c r="F39" s="43"/>
      <c r="G39" s="43"/>
      <c r="H39" s="68" t="s">
        <v>31</v>
      </c>
      <c r="I39" s="69">
        <f>H38*6.55957</f>
        <v>16481.444390599998</v>
      </c>
      <c r="J39" s="31"/>
      <c r="K39" s="32"/>
    </row>
    <row r="40" spans="2:11" ht="21.75" customHeight="1">
      <c r="B40" s="67"/>
      <c r="C40" s="13"/>
      <c r="D40" s="13"/>
      <c r="E40" s="43"/>
      <c r="F40" s="43"/>
      <c r="G40" s="43"/>
      <c r="H40" s="68"/>
      <c r="I40" s="70"/>
      <c r="J40" s="71"/>
      <c r="K40" s="74"/>
    </row>
    <row r="41" spans="2:9" ht="19.5" customHeight="1">
      <c r="B41" s="72" t="s">
        <v>48</v>
      </c>
      <c r="C41" s="73"/>
      <c r="D41" s="73"/>
      <c r="E41" s="73"/>
      <c r="F41" s="73"/>
      <c r="G41" s="73"/>
      <c r="H41" s="255">
        <f>G44-Données!I18+I29</f>
        <v>2599.39</v>
      </c>
      <c r="I41" s="256"/>
    </row>
    <row r="42" spans="2:9" ht="30" customHeight="1">
      <c r="B42" s="75" t="s">
        <v>49</v>
      </c>
      <c r="C42" s="76"/>
      <c r="D42" s="76"/>
      <c r="E42" s="76"/>
      <c r="F42" s="76"/>
      <c r="G42" s="76"/>
      <c r="H42" s="257"/>
      <c r="I42" s="258"/>
    </row>
    <row r="43" spans="2:9" ht="38.25" customHeight="1">
      <c r="B43" s="267" t="s">
        <v>85</v>
      </c>
      <c r="C43" s="267"/>
      <c r="D43" s="267"/>
      <c r="E43" s="267"/>
      <c r="F43" s="267"/>
      <c r="G43" s="267"/>
      <c r="H43" s="267"/>
      <c r="I43" s="267"/>
    </row>
    <row r="44" spans="2:7" ht="30.75" customHeight="1">
      <c r="B44" s="260" t="s">
        <v>86</v>
      </c>
      <c r="C44" s="261"/>
      <c r="D44" s="261"/>
      <c r="E44" s="261"/>
      <c r="F44" s="262"/>
      <c r="G44" s="77">
        <f>H38+I33+I31+I28+I26-Données!I19+Données!I18-Données!I31-I29</f>
        <v>2599.39</v>
      </c>
    </row>
    <row r="45" spans="2:9" ht="12.75">
      <c r="B45" s="259" t="s">
        <v>99</v>
      </c>
      <c r="C45" s="259"/>
      <c r="D45" s="259"/>
      <c r="E45" s="259"/>
      <c r="F45" s="259"/>
      <c r="G45" s="259"/>
      <c r="H45" s="259"/>
      <c r="I45" s="259"/>
    </row>
    <row r="46" ht="12.75">
      <c r="B46" s="78"/>
    </row>
    <row r="47" ht="12.75">
      <c r="B47" s="33" t="s">
        <v>66</v>
      </c>
    </row>
  </sheetData>
  <sheetProtection sheet="1" selectLockedCells="1"/>
  <mergeCells count="14">
    <mergeCell ref="B1:I1"/>
    <mergeCell ref="H2:I2"/>
    <mergeCell ref="B3:F3"/>
    <mergeCell ref="J27:K27"/>
    <mergeCell ref="J25:K25"/>
    <mergeCell ref="B43:I43"/>
    <mergeCell ref="J24:K24"/>
    <mergeCell ref="H38:I38"/>
    <mergeCell ref="C6:E6"/>
    <mergeCell ref="C7:E7"/>
    <mergeCell ref="J26:K26"/>
    <mergeCell ref="H41:I42"/>
    <mergeCell ref="B45:I45"/>
    <mergeCell ref="B44:F44"/>
  </mergeCells>
  <conditionalFormatting sqref="K29 K31 B11:I18 B20:I20 B24:I34">
    <cfRule type="expression" priority="1" dxfId="4"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7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L36"/>
  <sheetViews>
    <sheetView showGridLines="0" showRowColHeaders="0" showZeros="0" zoomScale="93" zoomScaleNormal="93" zoomScalePageLayoutView="0" workbookViewId="0" topLeftCell="A1">
      <selection activeCell="C2" sqref="C2"/>
    </sheetView>
  </sheetViews>
  <sheetFormatPr defaultColWidth="11.00390625" defaultRowHeight="12.75"/>
  <cols>
    <col min="1" max="1" width="14.125" style="120" customWidth="1"/>
    <col min="2" max="2" width="31.375" style="120" customWidth="1"/>
    <col min="3" max="3" width="14.75390625" style="121" customWidth="1"/>
    <col min="4" max="4" width="11.75390625" style="120" bestFit="1" customWidth="1"/>
    <col min="5" max="5" width="21.75390625" style="120" bestFit="1" customWidth="1"/>
    <col min="6" max="6" width="13.625" style="120" bestFit="1" customWidth="1"/>
    <col min="7" max="7" width="4.625" style="120" customWidth="1"/>
    <col min="8" max="8" width="11.375" style="120" customWidth="1"/>
    <col min="9" max="12" width="10.75390625" style="120" customWidth="1"/>
    <col min="13" max="16384" width="11.375" style="120" customWidth="1"/>
  </cols>
  <sheetData>
    <row r="1" ht="24" customHeight="1"/>
    <row r="2" spans="1:12" s="123" customFormat="1" ht="27" customHeight="1">
      <c r="A2" s="298" t="s">
        <v>34</v>
      </c>
      <c r="B2" s="299"/>
      <c r="C2" s="122">
        <v>39538</v>
      </c>
      <c r="D2" s="303" t="s">
        <v>35</v>
      </c>
      <c r="E2" s="304"/>
      <c r="F2" s="178">
        <v>399</v>
      </c>
      <c r="G2" s="177"/>
      <c r="H2" s="270" t="s">
        <v>138</v>
      </c>
      <c r="I2" s="270"/>
      <c r="J2" s="270"/>
      <c r="K2" s="271">
        <v>39538</v>
      </c>
      <c r="L2" s="272"/>
    </row>
    <row r="3" spans="1:3" s="126" customFormat="1" ht="13.5" customHeight="1" thickBot="1">
      <c r="A3" s="123"/>
      <c r="B3" s="124"/>
      <c r="C3" s="125"/>
    </row>
    <row r="4" spans="1:6" ht="16.5" customHeight="1" thickBot="1">
      <c r="A4" s="127"/>
      <c r="B4" s="128"/>
      <c r="C4" s="128"/>
      <c r="D4" s="292" t="s">
        <v>27</v>
      </c>
      <c r="E4" s="293"/>
      <c r="F4" s="294"/>
    </row>
    <row r="5" spans="1:6" ht="18" customHeight="1" thickBot="1">
      <c r="A5" s="129"/>
      <c r="B5" s="130" t="s">
        <v>17</v>
      </c>
      <c r="C5" s="131"/>
      <c r="D5" s="132" t="s">
        <v>22</v>
      </c>
      <c r="E5" s="133" t="s">
        <v>26</v>
      </c>
      <c r="F5" s="134" t="s">
        <v>33</v>
      </c>
    </row>
    <row r="6" spans="1:6" ht="13.5" customHeight="1">
      <c r="A6" s="129"/>
      <c r="B6" s="135" t="s">
        <v>18</v>
      </c>
      <c r="C6" s="136"/>
      <c r="D6" s="137">
        <v>2.29</v>
      </c>
      <c r="E6" s="138"/>
      <c r="F6" s="139"/>
    </row>
    <row r="7" spans="1:6" ht="13.5" customHeight="1">
      <c r="A7" s="129"/>
      <c r="B7" s="135" t="s">
        <v>28</v>
      </c>
      <c r="C7" s="136"/>
      <c r="D7" s="137">
        <f>IF(ROUNDDOWN((10.67*Données!C21/100)+((Traitement!$I$11+Traitement!$I$12)*0.03),2)&lt;=E7,E7,IF(ROUNDDOWN((10.67)+((Traitement!$I$11+Traitement!$I$12)*0.03),2)&gt;=F7,F7,ROUNDDOWN((10.67*Données!C21/100)+((Traitement!$I$11+Traitement!$I$12)*0.03),2)))</f>
        <v>102.07</v>
      </c>
      <c r="E7" s="138">
        <f>ROUND(10.67+(Données!I3*'plafonds et taux'!C4/12*0.03),2)</f>
        <v>73.04</v>
      </c>
      <c r="F7" s="139">
        <f>ROUND(10.67+(Données!I3*'plafonds et taux'!C5/12*0.03),2)</f>
        <v>110.27</v>
      </c>
    </row>
    <row r="8" spans="1:6" ht="13.5" customHeight="1">
      <c r="A8" s="129"/>
      <c r="B8" s="135" t="s">
        <v>29</v>
      </c>
      <c r="C8" s="136"/>
      <c r="D8" s="137">
        <f>IF(ROUNDDOWN((15.24*Données!C21/100)+((Traitement!$I$11+Traitement!$I$12)*0.08),2)&lt;=E8,E8,IF(ROUNDDOWN((15.24*Données!C21/100)+((Traitement!$I$11+Traitement!$I$12)*0.08),2)&gt;=F8,F8,ROUNDDOWN((15.24*Données!C21/100)+((Traitement!$I$11+Traitement!$I$12)*0.08),2)))</f>
        <v>258.97</v>
      </c>
      <c r="E8" s="138">
        <f>ROUND(15.24+(Données!I3*'plafonds et taux'!C4/12*0.08),2)</f>
        <v>181.56</v>
      </c>
      <c r="F8" s="139">
        <f>ROUND((15.24*Données!C21/100)+(Données!I3*'plafonds et taux'!C5/12*Données!C21/100*0.08),2)</f>
        <v>280.83</v>
      </c>
    </row>
    <row r="9" spans="1:6" ht="13.5" customHeight="1" thickBot="1">
      <c r="A9" s="129"/>
      <c r="B9" s="135" t="s">
        <v>30</v>
      </c>
      <c r="C9" s="136"/>
      <c r="D9" s="137">
        <f>IF(ROUNDDOWN((4.57*Données!C21/100)+((Traitement!$I$11+Traitement!$I$12)*0.06),2)&lt;=E9,E9,IF(ROUNDDOWN((4.57*Données!C21/100)+((Traitement!$I$11+Traitement!$I$12)*0.06),2)&gt;=F9,F9,ROUNDDOWN((4.57*Données!C21/100)+((Traitement!$I$11+Traitement!$I$12)*0.06),2)))</f>
        <v>187.37</v>
      </c>
      <c r="E9" s="138">
        <f>ROUND(4.57+(Données!I3*'plafonds et taux'!C4/12*0.06),2)</f>
        <v>129.31</v>
      </c>
      <c r="F9" s="139">
        <f>ROUND((4.57*Données!C21/100)+(Données!I3*'plafonds et taux'!C5/12*Données!C21/100*0.06),2)</f>
        <v>203.77</v>
      </c>
    </row>
    <row r="10" spans="1:6" ht="18" customHeight="1" thickBot="1">
      <c r="A10" s="300" t="s">
        <v>67</v>
      </c>
      <c r="B10" s="140" t="s">
        <v>19</v>
      </c>
      <c r="C10" s="141"/>
      <c r="D10" s="142"/>
      <c r="E10" s="142"/>
      <c r="F10" s="143"/>
    </row>
    <row r="11" spans="1:6" ht="13.5" customHeight="1">
      <c r="A11" s="301"/>
      <c r="B11" s="144" t="s">
        <v>36</v>
      </c>
      <c r="C11" s="145"/>
      <c r="D11" s="146">
        <f>ROUND($F$2*0.32,2)</f>
        <v>127.68</v>
      </c>
      <c r="E11" s="147" t="s">
        <v>74</v>
      </c>
      <c r="F11" s="148">
        <f>ROUNDUP(D11-(D11*0.005),2)</f>
        <v>127.05000000000001</v>
      </c>
    </row>
    <row r="12" spans="1:7" ht="13.5" customHeight="1">
      <c r="A12" s="301"/>
      <c r="B12" s="144" t="s">
        <v>37</v>
      </c>
      <c r="C12" s="145"/>
      <c r="D12" s="146">
        <f>ROUND($F$2*0.73,2)</f>
        <v>291.27</v>
      </c>
      <c r="E12" s="149" t="s">
        <v>74</v>
      </c>
      <c r="F12" s="150">
        <f>ROUNDUP(D12-(D12*0.005),2)</f>
        <v>289.82</v>
      </c>
      <c r="G12" s="151"/>
    </row>
    <row r="13" spans="1:7" ht="13.5" customHeight="1">
      <c r="A13" s="301"/>
      <c r="B13" s="144" t="s">
        <v>38</v>
      </c>
      <c r="C13" s="145"/>
      <c r="D13" s="146">
        <f>ROUND($F$2*1.14,2)</f>
        <v>454.86</v>
      </c>
      <c r="E13" s="149" t="s">
        <v>74</v>
      </c>
      <c r="F13" s="150">
        <f>ROUNDUP(D13-(D13*0.005),2)</f>
        <v>452.59</v>
      </c>
      <c r="G13" s="151"/>
    </row>
    <row r="14" spans="1:7" ht="13.5" customHeight="1">
      <c r="A14" s="301"/>
      <c r="B14" s="144" t="s">
        <v>39</v>
      </c>
      <c r="C14" s="145"/>
      <c r="D14" s="146">
        <f>ROUND($F$2*1.55,2)</f>
        <v>618.45</v>
      </c>
      <c r="E14" s="149" t="s">
        <v>74</v>
      </c>
      <c r="F14" s="150">
        <f>ROUNDUP(D14-(D14*0.005),2)</f>
        <v>615.36</v>
      </c>
      <c r="G14" s="151"/>
    </row>
    <row r="15" spans="1:7" ht="13.5" customHeight="1" thickBot="1">
      <c r="A15" s="301"/>
      <c r="B15" s="144" t="s">
        <v>40</v>
      </c>
      <c r="C15" s="145"/>
      <c r="D15" s="146">
        <f>ROUND($F$2*0.41,2)</f>
        <v>163.59</v>
      </c>
      <c r="E15" s="152" t="s">
        <v>74</v>
      </c>
      <c r="F15" s="153">
        <f>ROUNDUP(D15-(D15*0.005),2)</f>
        <v>162.78</v>
      </c>
      <c r="G15" s="151"/>
    </row>
    <row r="16" spans="1:7" ht="18" customHeight="1" thickBot="1">
      <c r="A16" s="301"/>
      <c r="B16" s="140" t="s">
        <v>20</v>
      </c>
      <c r="C16" s="141"/>
      <c r="D16" s="154"/>
      <c r="E16" s="155"/>
      <c r="F16" s="156"/>
      <c r="G16" s="151"/>
    </row>
    <row r="17" spans="1:6" ht="13.5" customHeight="1">
      <c r="A17" s="301"/>
      <c r="B17" s="144" t="s">
        <v>41</v>
      </c>
      <c r="C17" s="145"/>
      <c r="D17" s="157">
        <f>ROUND($F$2*0.09,2)</f>
        <v>35.91</v>
      </c>
      <c r="E17" s="147" t="s">
        <v>74</v>
      </c>
      <c r="F17" s="148">
        <f>ROUNDUP(D17-(D17*0.005),2)</f>
        <v>35.739999999999995</v>
      </c>
    </row>
    <row r="18" spans="1:12" ht="13.5" customHeight="1" thickBot="1">
      <c r="A18" s="302"/>
      <c r="B18" s="144" t="s">
        <v>42</v>
      </c>
      <c r="C18" s="145"/>
      <c r="D18" s="157">
        <f>ROUND($F$2*0.16,2)</f>
        <v>63.84</v>
      </c>
      <c r="E18" s="152" t="s">
        <v>74</v>
      </c>
      <c r="F18" s="150">
        <f>ROUNDUP(D18-(D18*0.005),2)</f>
        <v>63.53</v>
      </c>
      <c r="G18" s="305"/>
      <c r="H18" s="306"/>
      <c r="I18" s="306"/>
      <c r="J18" s="306"/>
      <c r="K18" s="306"/>
      <c r="L18" s="306"/>
    </row>
    <row r="19" spans="1:7" ht="18" customHeight="1" thickBot="1">
      <c r="A19" s="129"/>
      <c r="B19" s="130" t="s">
        <v>21</v>
      </c>
      <c r="C19" s="158"/>
      <c r="D19" s="159"/>
      <c r="E19" s="159"/>
      <c r="F19" s="160"/>
      <c r="G19" s="151"/>
    </row>
    <row r="20" spans="1:7" ht="13.5" customHeight="1" thickBot="1">
      <c r="A20" s="129"/>
      <c r="B20" s="135"/>
      <c r="C20" s="136"/>
      <c r="D20" s="137">
        <f>ROUNDDOWN(Données!I3*'plafonds et taux'!C6/12,2)</f>
        <v>1430.76</v>
      </c>
      <c r="E20" s="138"/>
      <c r="F20" s="139"/>
      <c r="G20" s="151"/>
    </row>
    <row r="21" spans="1:6" ht="13.5" customHeight="1" thickBot="1">
      <c r="A21" s="129"/>
      <c r="B21" s="130" t="s">
        <v>45</v>
      </c>
      <c r="C21" s="158"/>
      <c r="D21" s="159"/>
      <c r="E21" s="159"/>
      <c r="F21" s="160"/>
    </row>
    <row r="22" spans="1:8" ht="13.5" customHeight="1" thickBot="1">
      <c r="A22" s="129"/>
      <c r="B22" s="161"/>
      <c r="C22" s="162"/>
      <c r="D22" s="163">
        <f>IF(AND(Données!I17=1,ROUNDDOWN((Traitement!I11+Traitement!I12)*0.03,2)&gt;E22),ROUNDDOWN((Traitement!I11+Traitement!I12)*0.03,2),IF(AND(Données!I17=2,ROUNDDOWN((Traitement!I11+Traitement!I12)*0.01,2)&gt;E22),ROUNDDOWN((Traitement!I11+Traitement!I12)*0.01,2),IF(Données!I17=3,0,E22)))</f>
        <v>0</v>
      </c>
      <c r="E22" s="164">
        <f>IF(AND(Données!I17=1,(Données!I15+Données!I16)&lt;'plafonds et taux'!C3),ROUNDDOWN(Données!I3*'plafonds et taux'!C3/12*Données!C21/100*0.03,2),IF(AND(Données!I17=2,(Données!I15+Données!I16)&lt;'plafonds et taux'!C3),ROUNDDOWN(Données!I3*'plafonds et taux'!C3/12*Données!C21/100*0.01,2),0))</f>
        <v>0</v>
      </c>
      <c r="F22" s="165"/>
      <c r="H22" s="176"/>
    </row>
    <row r="23" spans="1:9" ht="13.5" customHeight="1">
      <c r="A23" s="129"/>
      <c r="H23" s="288" t="s">
        <v>116</v>
      </c>
      <c r="I23" s="288" t="s">
        <v>117</v>
      </c>
    </row>
    <row r="24" spans="1:9" ht="18" customHeight="1">
      <c r="A24" s="129"/>
      <c r="D24" s="286" t="s">
        <v>137</v>
      </c>
      <c r="E24" s="286"/>
      <c r="F24" s="286"/>
      <c r="H24" s="288"/>
      <c r="I24" s="288"/>
    </row>
    <row r="25" spans="1:9" s="166" customFormat="1" ht="39.75" customHeight="1">
      <c r="A25" s="120"/>
      <c r="B25" s="297" t="s">
        <v>106</v>
      </c>
      <c r="C25" s="297"/>
      <c r="D25" s="295">
        <v>39813</v>
      </c>
      <c r="E25" s="296"/>
      <c r="F25" s="187">
        <f>IF(Données!C26="N",'taux prestations sociales'!I25,'taux prestations sociales'!H25)</f>
        <v>0.0297</v>
      </c>
      <c r="H25" s="186">
        <f>80/100*I25</f>
        <v>0.023760000000000003</v>
      </c>
      <c r="I25" s="186">
        <v>0.0297</v>
      </c>
    </row>
    <row r="26" spans="1:12" ht="24" customHeight="1" thickBot="1">
      <c r="A26" s="166"/>
      <c r="B26" s="167"/>
      <c r="C26" s="168"/>
      <c r="D26" s="167"/>
      <c r="E26" s="167"/>
      <c r="F26" s="189">
        <f>F25*100</f>
        <v>2.97</v>
      </c>
      <c r="G26" s="166"/>
      <c r="H26" s="185"/>
      <c r="I26" s="185"/>
      <c r="J26" s="287" t="s">
        <v>102</v>
      </c>
      <c r="K26" s="287" t="s">
        <v>103</v>
      </c>
      <c r="L26" s="116"/>
    </row>
    <row r="27" spans="2:11" ht="24" customHeight="1" thickBot="1">
      <c r="B27" s="128"/>
      <c r="C27" s="128"/>
      <c r="D27" s="292" t="s">
        <v>55</v>
      </c>
      <c r="E27" s="293"/>
      <c r="F27" s="294"/>
      <c r="J27" s="287"/>
      <c r="K27" s="287"/>
    </row>
    <row r="28" spans="2:12" ht="27" customHeight="1" thickBot="1">
      <c r="B28" s="284" t="s">
        <v>115</v>
      </c>
      <c r="C28" s="285"/>
      <c r="D28" s="132" t="s">
        <v>22</v>
      </c>
      <c r="E28" s="133" t="s">
        <v>26</v>
      </c>
      <c r="F28" s="134" t="s">
        <v>33</v>
      </c>
      <c r="H28" s="279" t="s">
        <v>100</v>
      </c>
      <c r="I28" s="279"/>
      <c r="J28" s="280">
        <f>IF(Données!$C$26="O",'plafonds et taux'!$G$8,'plafonds et taux'!$I8)</f>
        <v>413</v>
      </c>
      <c r="K28" s="280">
        <f>IF(Données!$C$26="O",'plafonds et taux'!$G$9,'plafonds et taux'!$I9)</f>
        <v>1536</v>
      </c>
      <c r="L28" s="274" t="s">
        <v>0</v>
      </c>
    </row>
    <row r="29" spans="2:12" ht="12.75" customHeight="1">
      <c r="B29" s="135" t="s">
        <v>104</v>
      </c>
      <c r="C29" s="136"/>
      <c r="D29" s="175">
        <f>J33/12</f>
        <v>8</v>
      </c>
      <c r="E29" s="138"/>
      <c r="F29" s="139"/>
      <c r="H29" s="279"/>
      <c r="I29" s="279"/>
      <c r="J29" s="280"/>
      <c r="K29" s="280"/>
      <c r="L29" s="274"/>
    </row>
    <row r="30" spans="2:12" ht="12.75" customHeight="1">
      <c r="B30" s="135" t="s">
        <v>105</v>
      </c>
      <c r="C30" s="136"/>
      <c r="D30" s="175">
        <f>J35/12</f>
        <v>18.75</v>
      </c>
      <c r="E30" s="138"/>
      <c r="F30" s="139"/>
      <c r="H30" s="283" t="s">
        <v>101</v>
      </c>
      <c r="I30" s="283"/>
      <c r="J30" s="273">
        <f>J28*D31</f>
        <v>268.45</v>
      </c>
      <c r="K30" s="273">
        <f>K28*D31</f>
        <v>998.4000000000001</v>
      </c>
      <c r="L30" s="274"/>
    </row>
    <row r="31" spans="2:12" ht="12.75" customHeight="1" thickBot="1">
      <c r="B31" s="169" t="s">
        <v>111</v>
      </c>
      <c r="C31" s="170"/>
      <c r="D31" s="179">
        <v>0.65</v>
      </c>
      <c r="E31" s="171">
        <f>J28*D31/12</f>
        <v>22.370833333333334</v>
      </c>
      <c r="F31" s="181">
        <f>K28*D31/12</f>
        <v>83.2</v>
      </c>
      <c r="H31" s="283"/>
      <c r="I31" s="283"/>
      <c r="J31" s="273"/>
      <c r="K31" s="273"/>
      <c r="L31" s="274"/>
    </row>
    <row r="32" spans="8:12" ht="12.75" customHeight="1" thickBot="1">
      <c r="H32" s="283"/>
      <c r="I32" s="283"/>
      <c r="J32" s="273"/>
      <c r="K32" s="273"/>
      <c r="L32" s="274"/>
    </row>
    <row r="33" spans="2:12" ht="13.5" customHeight="1" thickBot="1">
      <c r="B33" s="289" t="s">
        <v>73</v>
      </c>
      <c r="C33" s="290"/>
      <c r="D33" s="291"/>
      <c r="E33" s="133" t="s">
        <v>26</v>
      </c>
      <c r="F33" s="134" t="s">
        <v>33</v>
      </c>
      <c r="H33" s="277" t="s">
        <v>107</v>
      </c>
      <c r="I33" s="277"/>
      <c r="J33" s="281">
        <v>96</v>
      </c>
      <c r="K33" s="118"/>
      <c r="L33" s="274"/>
    </row>
    <row r="34" spans="5:12" ht="24" customHeight="1" thickBot="1">
      <c r="E34" s="173">
        <f>J28/12</f>
        <v>34.416666666666664</v>
      </c>
      <c r="F34" s="174">
        <f>K28/12</f>
        <v>128</v>
      </c>
      <c r="H34" s="278"/>
      <c r="I34" s="278"/>
      <c r="J34" s="282"/>
      <c r="K34" s="172"/>
      <c r="L34" s="274"/>
    </row>
    <row r="35" spans="8:12" ht="37.5" customHeight="1">
      <c r="H35" s="275" t="s">
        <v>108</v>
      </c>
      <c r="I35" s="276"/>
      <c r="J35" s="117">
        <v>225</v>
      </c>
      <c r="K35" s="118"/>
      <c r="L35" s="274"/>
    </row>
    <row r="36" ht="25.5" customHeight="1">
      <c r="K36" s="119"/>
    </row>
  </sheetData>
  <sheetProtection sheet="1" selectLockedCells="1"/>
  <mergeCells count="27">
    <mergeCell ref="B33:D33"/>
    <mergeCell ref="D27:F27"/>
    <mergeCell ref="D25:E25"/>
    <mergeCell ref="B25:C25"/>
    <mergeCell ref="K28:K29"/>
    <mergeCell ref="A2:B2"/>
    <mergeCell ref="A10:A18"/>
    <mergeCell ref="D4:F4"/>
    <mergeCell ref="D2:E2"/>
    <mergeCell ref="G18:L18"/>
    <mergeCell ref="H30:I32"/>
    <mergeCell ref="B28:C28"/>
    <mergeCell ref="D24:F24"/>
    <mergeCell ref="J26:J27"/>
    <mergeCell ref="K26:K27"/>
    <mergeCell ref="H23:H24"/>
    <mergeCell ref="I23:I24"/>
    <mergeCell ref="H2:J2"/>
    <mergeCell ref="K2:L2"/>
    <mergeCell ref="J30:J32"/>
    <mergeCell ref="K30:K32"/>
    <mergeCell ref="L28:L35"/>
    <mergeCell ref="H35:I35"/>
    <mergeCell ref="H33:I34"/>
    <mergeCell ref="H28:I29"/>
    <mergeCell ref="J28:J29"/>
    <mergeCell ref="J33:J34"/>
  </mergeCells>
  <conditionalFormatting sqref="H30 B33 E33:F34 B20:F20 B5:F9 B22:F22 H28 B28:B31 D28:F31 C29:C31">
    <cfRule type="expression" priority="1" dxfId="5" stopIfTrue="1">
      <formula>(EVEN(ROW())=ROW())</formula>
    </cfRule>
  </conditionalFormatting>
  <conditionalFormatting sqref="B10:F18">
    <cfRule type="expression" priority="2" dxfId="6" stopIfTrue="1">
      <formula>(ODD(ROW())=ROW())</formula>
    </cfRule>
  </conditionalFormatting>
  <printOptions/>
  <pageMargins left="0.7874015748031497" right="0.7874015748031497" top="0.984251968503937" bottom="0.984251968503937" header="0.5118110236220472" footer="0.5118110236220472"/>
  <pageSetup fitToHeight="1" fitToWidth="1"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dimension ref="A1:N27"/>
  <sheetViews>
    <sheetView showGridLines="0" showRowColHeaders="0" zoomScalePageLayoutView="0" workbookViewId="0" topLeftCell="A1">
      <selection activeCell="B27" sqref="B27:G27"/>
    </sheetView>
  </sheetViews>
  <sheetFormatPr defaultColWidth="11.625" defaultRowHeight="12.75"/>
  <cols>
    <col min="1" max="1" width="32.75390625" style="1" customWidth="1"/>
    <col min="2" max="2" width="11.625" style="2" customWidth="1"/>
    <col min="3" max="16384" width="11.625" style="1" customWidth="1"/>
  </cols>
  <sheetData>
    <row r="1" spans="1:14" ht="30" customHeight="1">
      <c r="A1" s="321" t="s">
        <v>64</v>
      </c>
      <c r="B1" s="307" t="s">
        <v>60</v>
      </c>
      <c r="C1" s="307"/>
      <c r="D1" s="307"/>
      <c r="E1" s="307"/>
      <c r="F1" s="307"/>
      <c r="G1" s="307"/>
      <c r="I1" s="307" t="s">
        <v>132</v>
      </c>
      <c r="J1" s="307"/>
      <c r="K1" s="307"/>
      <c r="L1" s="307"/>
      <c r="M1" s="220"/>
      <c r="N1" s="220"/>
    </row>
    <row r="2" spans="1:14" ht="24" thickBot="1">
      <c r="A2" s="321"/>
      <c r="B2" s="322" t="s">
        <v>122</v>
      </c>
      <c r="C2" s="322"/>
      <c r="D2" s="322"/>
      <c r="E2" s="322"/>
      <c r="F2" s="322"/>
      <c r="G2" s="322"/>
      <c r="I2" s="308" t="s">
        <v>122</v>
      </c>
      <c r="J2" s="308"/>
      <c r="K2" s="308"/>
      <c r="L2" s="308"/>
      <c r="M2" s="221"/>
      <c r="N2" s="221"/>
    </row>
    <row r="3" spans="2:14" ht="12" customHeight="1">
      <c r="B3" s="311" t="s">
        <v>58</v>
      </c>
      <c r="C3" s="312"/>
      <c r="D3" s="311" t="s">
        <v>59</v>
      </c>
      <c r="E3" s="312"/>
      <c r="F3" s="311" t="s">
        <v>123</v>
      </c>
      <c r="G3" s="312"/>
      <c r="I3" s="222"/>
      <c r="J3" s="222"/>
      <c r="K3" s="222"/>
      <c r="L3" s="222"/>
      <c r="M3" s="222"/>
      <c r="N3" s="222"/>
    </row>
    <row r="4" spans="2:7" ht="18.75" customHeight="1" thickBot="1">
      <c r="B4" s="313"/>
      <c r="C4" s="314"/>
      <c r="D4" s="315"/>
      <c r="E4" s="316"/>
      <c r="F4" s="315"/>
      <c r="G4" s="316"/>
    </row>
    <row r="5" spans="2:7" ht="19.5" customHeight="1">
      <c r="B5" s="317" t="s">
        <v>56</v>
      </c>
      <c r="C5" s="319" t="s">
        <v>57</v>
      </c>
      <c r="D5" s="323" t="s">
        <v>56</v>
      </c>
      <c r="E5" s="319" t="s">
        <v>57</v>
      </c>
      <c r="F5" s="323" t="s">
        <v>56</v>
      </c>
      <c r="G5" s="319" t="s">
        <v>57</v>
      </c>
    </row>
    <row r="6" spans="2:7" ht="13.5" customHeight="1" thickBot="1">
      <c r="B6" s="318"/>
      <c r="C6" s="320"/>
      <c r="D6" s="324"/>
      <c r="E6" s="320"/>
      <c r="F6" s="324"/>
      <c r="G6" s="320"/>
    </row>
    <row r="7" spans="2:7" ht="20.25" customHeight="1" thickTop="1">
      <c r="B7" s="190">
        <v>1</v>
      </c>
      <c r="C7" s="191">
        <v>341</v>
      </c>
      <c r="D7" s="192">
        <v>1</v>
      </c>
      <c r="E7" s="191">
        <v>349</v>
      </c>
      <c r="F7" s="192">
        <v>1</v>
      </c>
      <c r="G7" s="191">
        <v>495</v>
      </c>
    </row>
    <row r="8" spans="2:7" ht="20.25">
      <c r="B8" s="193">
        <v>2</v>
      </c>
      <c r="C8" s="194">
        <v>357</v>
      </c>
      <c r="D8" s="195">
        <v>2</v>
      </c>
      <c r="E8" s="194">
        <v>376</v>
      </c>
      <c r="F8" s="195">
        <v>2</v>
      </c>
      <c r="G8" s="194">
        <v>560</v>
      </c>
    </row>
    <row r="9" spans="2:7" ht="20.25">
      <c r="B9" s="193">
        <v>3</v>
      </c>
      <c r="C9" s="194">
        <v>366</v>
      </c>
      <c r="D9" s="195">
        <v>3</v>
      </c>
      <c r="E9" s="196">
        <v>432</v>
      </c>
      <c r="F9" s="195">
        <v>3</v>
      </c>
      <c r="G9" s="194">
        <v>601</v>
      </c>
    </row>
    <row r="10" spans="2:7" ht="20.25">
      <c r="B10" s="193">
        <v>4</v>
      </c>
      <c r="C10" s="194">
        <v>373</v>
      </c>
      <c r="D10" s="195">
        <v>4</v>
      </c>
      <c r="E10" s="196">
        <v>445</v>
      </c>
      <c r="F10" s="195">
        <v>4</v>
      </c>
      <c r="G10" s="194">
        <v>642</v>
      </c>
    </row>
    <row r="11" spans="2:7" ht="20.25">
      <c r="B11" s="193">
        <v>5</v>
      </c>
      <c r="C11" s="194">
        <v>383</v>
      </c>
      <c r="D11" s="195">
        <v>5</v>
      </c>
      <c r="E11" s="196">
        <v>458</v>
      </c>
      <c r="F11" s="195">
        <v>5</v>
      </c>
      <c r="G11" s="194">
        <v>695</v>
      </c>
    </row>
    <row r="12" spans="2:7" ht="20.25">
      <c r="B12" s="193">
        <v>6</v>
      </c>
      <c r="C12" s="194">
        <v>390</v>
      </c>
      <c r="D12" s="195">
        <v>6</v>
      </c>
      <c r="E12" s="194">
        <v>467</v>
      </c>
      <c r="F12" s="195">
        <v>6</v>
      </c>
      <c r="G12" s="194">
        <v>741</v>
      </c>
    </row>
    <row r="13" spans="2:7" ht="21" thickBot="1">
      <c r="B13" s="193">
        <v>7</v>
      </c>
      <c r="C13" s="194">
        <v>399</v>
      </c>
      <c r="D13" s="195">
        <v>7</v>
      </c>
      <c r="E13" s="194">
        <v>495</v>
      </c>
      <c r="F13" s="197">
        <v>7</v>
      </c>
      <c r="G13" s="198">
        <v>783</v>
      </c>
    </row>
    <row r="14" spans="2:7" ht="20.25">
      <c r="B14" s="193">
        <v>8</v>
      </c>
      <c r="C14" s="194">
        <v>420</v>
      </c>
      <c r="D14" s="195">
        <v>8</v>
      </c>
      <c r="E14" s="194">
        <v>531</v>
      </c>
      <c r="F14" s="199"/>
      <c r="G14" s="200"/>
    </row>
    <row r="15" spans="2:7" ht="20.25">
      <c r="B15" s="193">
        <v>9</v>
      </c>
      <c r="C15" s="194">
        <v>441</v>
      </c>
      <c r="D15" s="195">
        <v>9</v>
      </c>
      <c r="E15" s="194">
        <v>567</v>
      </c>
      <c r="F15" s="199"/>
      <c r="G15" s="200"/>
    </row>
    <row r="16" spans="2:7" ht="20.25">
      <c r="B16" s="193">
        <v>10</v>
      </c>
      <c r="C16" s="194">
        <v>469</v>
      </c>
      <c r="D16" s="195">
        <v>10</v>
      </c>
      <c r="E16" s="194">
        <v>612</v>
      </c>
      <c r="F16" s="199"/>
      <c r="G16" s="200"/>
    </row>
    <row r="17" spans="2:7" ht="21" thickBot="1">
      <c r="B17" s="201">
        <v>11</v>
      </c>
      <c r="C17" s="198">
        <v>515</v>
      </c>
      <c r="D17" s="197">
        <v>11</v>
      </c>
      <c r="E17" s="198">
        <v>658</v>
      </c>
      <c r="F17" s="199"/>
      <c r="G17" s="200"/>
    </row>
    <row r="18" spans="2:3" ht="20.25">
      <c r="B18" s="3"/>
      <c r="C18" s="3"/>
    </row>
    <row r="19" spans="2:7" ht="12" customHeight="1">
      <c r="B19" s="4"/>
      <c r="C19" s="3"/>
      <c r="D19" s="3"/>
      <c r="E19" s="3"/>
      <c r="F19" s="3"/>
      <c r="G19" s="3"/>
    </row>
    <row r="20" spans="2:7" ht="30">
      <c r="B20" s="310" t="s">
        <v>61</v>
      </c>
      <c r="C20" s="310"/>
      <c r="D20" s="310"/>
      <c r="E20" s="310"/>
      <c r="F20" s="310"/>
      <c r="G20" s="310"/>
    </row>
    <row r="21" spans="2:7" ht="12" customHeight="1">
      <c r="B21" s="4"/>
      <c r="C21" s="3"/>
      <c r="D21" s="3"/>
      <c r="E21" s="3"/>
      <c r="F21" s="3"/>
      <c r="G21" s="3"/>
    </row>
    <row r="22" spans="2:9" ht="18">
      <c r="B22" s="309" t="s">
        <v>62</v>
      </c>
      <c r="C22" s="309"/>
      <c r="D22" s="309"/>
      <c r="E22" s="309"/>
      <c r="F22" s="309"/>
      <c r="G22" s="309"/>
      <c r="I22" s="184"/>
    </row>
    <row r="23" spans="2:7" ht="20.25">
      <c r="B23" s="4"/>
      <c r="C23" s="3"/>
      <c r="D23" s="3"/>
      <c r="E23" s="3"/>
      <c r="F23" s="3"/>
      <c r="G23" s="3"/>
    </row>
    <row r="24" spans="2:8" ht="20.25">
      <c r="B24" s="4"/>
      <c r="C24" s="3"/>
      <c r="D24" s="3"/>
      <c r="E24" s="3"/>
      <c r="F24" s="3"/>
      <c r="G24" s="3"/>
      <c r="H24" s="183"/>
    </row>
    <row r="25" spans="2:7" ht="30">
      <c r="B25" s="310" t="s">
        <v>63</v>
      </c>
      <c r="C25" s="310"/>
      <c r="D25" s="310"/>
      <c r="E25" s="310"/>
      <c r="F25" s="310"/>
      <c r="G25" s="310"/>
    </row>
    <row r="26" spans="2:7" ht="20.25">
      <c r="B26" s="4"/>
      <c r="C26" s="3"/>
      <c r="D26" s="3"/>
      <c r="E26" s="3"/>
      <c r="F26" s="3"/>
      <c r="G26" s="3"/>
    </row>
    <row r="27" spans="2:7" ht="18.75">
      <c r="B27" s="309" t="s">
        <v>62</v>
      </c>
      <c r="C27" s="309"/>
      <c r="D27" s="309"/>
      <c r="E27" s="309"/>
      <c r="F27" s="309"/>
      <c r="G27" s="309"/>
    </row>
  </sheetData>
  <sheetProtection sheet="1"/>
  <mergeCells count="18">
    <mergeCell ref="A1:A2"/>
    <mergeCell ref="B2:G2"/>
    <mergeCell ref="B20:G20"/>
    <mergeCell ref="D5:D6"/>
    <mergeCell ref="E5:E6"/>
    <mergeCell ref="F5:F6"/>
    <mergeCell ref="G5:G6"/>
    <mergeCell ref="B1:G1"/>
    <mergeCell ref="I1:L1"/>
    <mergeCell ref="I2:L2"/>
    <mergeCell ref="B27:G27"/>
    <mergeCell ref="B25:G25"/>
    <mergeCell ref="B22:G22"/>
    <mergeCell ref="B3:C4"/>
    <mergeCell ref="D3:E4"/>
    <mergeCell ref="F3:G4"/>
    <mergeCell ref="B5:B6"/>
    <mergeCell ref="C5:C6"/>
  </mergeCells>
  <conditionalFormatting sqref="B7:E17 F7:G13">
    <cfRule type="expression" priority="7" dxfId="0"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 ref="B27:G27" r:id="rId5" display="Montant : cliquer ici"/>
    <hyperlink ref="A1:A2" location="Données!A1" display="RETOUR"/>
  </hyperlinks>
  <printOptions/>
  <pageMargins left="0.787401575" right="0.787401575" top="0.984251969" bottom="0.984251969" header="0.4921259845" footer="0.4921259845"/>
  <pageSetup horizontalDpi="600" verticalDpi="600" orientation="portrait" paperSize="9" r:id="rId7"/>
  <drawing r:id="rId6"/>
</worksheet>
</file>

<file path=xl/worksheets/sheet5.xml><?xml version="1.0" encoding="utf-8"?>
<worksheet xmlns="http://schemas.openxmlformats.org/spreadsheetml/2006/main" xmlns:r="http://schemas.openxmlformats.org/officeDocument/2006/relationships">
  <dimension ref="B2:J13"/>
  <sheetViews>
    <sheetView showGridLines="0" zoomScale="75" zoomScaleNormal="75" zoomScalePageLayoutView="0" workbookViewId="0" topLeftCell="A1">
      <selection activeCell="C7" sqref="C7"/>
    </sheetView>
  </sheetViews>
  <sheetFormatPr defaultColWidth="11.00390625" defaultRowHeight="12.75"/>
  <cols>
    <col min="1" max="1" width="11.375" style="5" customWidth="1"/>
    <col min="2" max="2" width="48.375" style="7" customWidth="1"/>
    <col min="3" max="3" width="22.875" style="6" bestFit="1" customWidth="1"/>
    <col min="4" max="4" width="11.375" style="5" customWidth="1"/>
    <col min="5" max="6" width="12.75390625" style="5" customWidth="1"/>
    <col min="7" max="10" width="12.25390625" style="5" customWidth="1"/>
    <col min="11" max="16384" width="11.375" style="5" customWidth="1"/>
  </cols>
  <sheetData>
    <row r="1" ht="45" thickBot="1"/>
    <row r="2" ht="24" thickBot="1">
      <c r="C2" s="9" t="s">
        <v>71</v>
      </c>
    </row>
    <row r="3" spans="2:5" ht="65.25" customHeight="1" thickBot="1">
      <c r="B3" s="8" t="s">
        <v>72</v>
      </c>
      <c r="C3" s="180">
        <v>313</v>
      </c>
      <c r="E3" s="231" t="s">
        <v>139</v>
      </c>
    </row>
    <row r="4" spans="2:3" ht="65.25" customHeight="1" thickBot="1">
      <c r="B4" s="229" t="s">
        <v>68</v>
      </c>
      <c r="C4" s="180">
        <v>449</v>
      </c>
    </row>
    <row r="5" spans="2:3" ht="65.25" customHeight="1" thickBot="1">
      <c r="B5" s="229" t="s">
        <v>69</v>
      </c>
      <c r="C5" s="180">
        <v>717</v>
      </c>
    </row>
    <row r="6" spans="2:10" ht="65.25" customHeight="1" thickBot="1">
      <c r="B6" s="202" t="s">
        <v>70</v>
      </c>
      <c r="C6" s="203">
        <v>309</v>
      </c>
      <c r="E6" s="327" t="s">
        <v>95</v>
      </c>
      <c r="F6" s="327"/>
      <c r="G6" s="327"/>
      <c r="H6" s="327"/>
      <c r="I6" s="327"/>
      <c r="J6" s="327"/>
    </row>
    <row r="7" spans="2:10" s="207" customFormat="1" ht="19.5" customHeight="1" thickBot="1">
      <c r="B7" s="205"/>
      <c r="C7" s="206"/>
      <c r="F7" s="208"/>
      <c r="G7" s="326" t="s">
        <v>125</v>
      </c>
      <c r="H7" s="326"/>
      <c r="I7" s="326" t="s">
        <v>127</v>
      </c>
      <c r="J7" s="326"/>
    </row>
    <row r="8" spans="2:10" ht="65.25" customHeight="1" thickBot="1">
      <c r="B8" s="204" t="s">
        <v>119</v>
      </c>
      <c r="C8" s="188">
        <v>0.0876</v>
      </c>
      <c r="E8" s="328" t="s">
        <v>124</v>
      </c>
      <c r="F8" s="328"/>
      <c r="G8" s="325">
        <v>330</v>
      </c>
      <c r="H8" s="325"/>
      <c r="I8" s="325">
        <v>413</v>
      </c>
      <c r="J8" s="325"/>
    </row>
    <row r="9" spans="2:10" ht="65.25" customHeight="1" thickBot="1">
      <c r="B9" s="204" t="s">
        <v>129</v>
      </c>
      <c r="C9" s="188">
        <v>0.9825</v>
      </c>
      <c r="E9" s="328" t="s">
        <v>126</v>
      </c>
      <c r="F9" s="328"/>
      <c r="G9" s="325">
        <v>1228</v>
      </c>
      <c r="H9" s="325"/>
      <c r="I9" s="325">
        <v>1536</v>
      </c>
      <c r="J9" s="325"/>
    </row>
    <row r="10" spans="2:10" s="207" customFormat="1" ht="18" customHeight="1" thickBot="1">
      <c r="B10" s="211"/>
      <c r="C10" s="212"/>
      <c r="E10" s="209"/>
      <c r="F10" s="209"/>
      <c r="G10" s="210"/>
      <c r="H10" s="210"/>
      <c r="I10" s="210"/>
      <c r="J10" s="210"/>
    </row>
    <row r="11" spans="2:3" ht="65.25" customHeight="1" thickBot="1">
      <c r="B11" s="228" t="s">
        <v>133</v>
      </c>
      <c r="C11" s="188">
        <v>0.051</v>
      </c>
    </row>
    <row r="12" spans="2:3" ht="65.25" customHeight="1" thickBot="1">
      <c r="B12" s="228" t="s">
        <v>134</v>
      </c>
      <c r="C12" s="188">
        <v>0.024</v>
      </c>
    </row>
    <row r="13" spans="2:3" ht="65.25" customHeight="1" thickBot="1">
      <c r="B13" s="228" t="s">
        <v>128</v>
      </c>
      <c r="C13" s="188">
        <v>0.005</v>
      </c>
    </row>
  </sheetData>
  <sheetProtection sheet="1" objects="1" scenarios="1" selectLockedCells="1"/>
  <mergeCells count="9">
    <mergeCell ref="I8:J8"/>
    <mergeCell ref="I9:J9"/>
    <mergeCell ref="I7:J7"/>
    <mergeCell ref="E6:J6"/>
    <mergeCell ref="E8:F8"/>
    <mergeCell ref="G8:H8"/>
    <mergeCell ref="E9:F9"/>
    <mergeCell ref="G9:H9"/>
    <mergeCell ref="G7:H7"/>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2011-02-22T11:24:56Z</cp:lastPrinted>
  <dcterms:created xsi:type="dcterms:W3CDTF">2001-02-02T10:24:45Z</dcterms:created>
  <dcterms:modified xsi:type="dcterms:W3CDTF">2013-04-09T12:12:56Z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