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50" windowWidth="15360" windowHeight="8625" tabRatio="904" activeTab="2"/>
  </bookViews>
  <sheets>
    <sheet name="Intro" sheetId="1" r:id="rId1"/>
    <sheet name="Zone 1 _ 3_100 " sheetId="2" r:id="rId2"/>
    <sheet name="Zone 2 _ 1_100" sheetId="3" r:id="rId3"/>
    <sheet name="Zone 3 _ 0_100" sheetId="4" r:id="rId4"/>
    <sheet name="Zone 1 _ mi_temps" sheetId="5" r:id="rId5"/>
    <sheet name="Zone 2 _ mi_temps" sheetId="6" r:id="rId6"/>
    <sheet name="Zone 3 _ mi_temps" sheetId="7" r:id="rId7"/>
    <sheet name="Indices" sheetId="8" r:id="rId8"/>
  </sheets>
  <definedNames>
    <definedName name="inddiff">"Objet 2"</definedName>
    <definedName name="_xlnm.Print_Area" localSheetId="7">'Indices'!$B$1:$I$16</definedName>
    <definedName name="_xlnm.Print_Area" localSheetId="1">'Zone 1 _ 3_100 '!$B$4:$K$45</definedName>
    <definedName name="_xlnm.Print_Area" localSheetId="4">'Zone 1 _ mi_temps'!$B$4:$K$48</definedName>
    <definedName name="_xlnm.Print_Area" localSheetId="2">'Zone 2 _ 1_100'!$B$4:$K$47</definedName>
    <definedName name="_xlnm.Print_Area" localSheetId="5">'Zone 2 _ mi_temps'!$A$1:$O$48</definedName>
    <definedName name="_xlnm.Print_Area" localSheetId="3">'Zone 3 _ 0_100'!$B$4:$K$45</definedName>
    <definedName name="_xlnm.Print_Area" localSheetId="6">'Zone 3 _ mi_temps'!$B$4:$K$48</definedName>
  </definedNames>
  <calcPr fullCalcOnLoad="1"/>
</workbook>
</file>

<file path=xl/sharedStrings.xml><?xml version="1.0" encoding="utf-8"?>
<sst xmlns="http://schemas.openxmlformats.org/spreadsheetml/2006/main" count="281" uniqueCount="58">
  <si>
    <t>avec IRL célibataire</t>
  </si>
  <si>
    <t>avec IRL marié/enfant</t>
  </si>
  <si>
    <t xml:space="preserve">Valeur brute mensuelle </t>
  </si>
  <si>
    <t xml:space="preserve">Valeur nette mensuelle </t>
  </si>
  <si>
    <t xml:space="preserve">Valeur annuelle pt indiciaire </t>
  </si>
  <si>
    <t>marié/enft</t>
  </si>
  <si>
    <t xml:space="preserve">Montant IRL  </t>
  </si>
  <si>
    <t>taux au</t>
  </si>
  <si>
    <t>Zone 2 : indemnité de résidence à 1%</t>
  </si>
  <si>
    <t>Taux au</t>
  </si>
  <si>
    <t>I. R. L. versée à part (hors fiche de paie)</t>
  </si>
  <si>
    <t>(indemnité de résidence + 1% incluse)</t>
  </si>
  <si>
    <t>Instituteur (trice)</t>
  </si>
  <si>
    <t>Echelon</t>
  </si>
  <si>
    <t>Indice</t>
  </si>
  <si>
    <t>Net mensuel</t>
  </si>
  <si>
    <t xml:space="preserve">* sont retirés du salaire brut : </t>
  </si>
  <si>
    <t>Prof des écoles</t>
  </si>
  <si>
    <t>en €</t>
  </si>
  <si>
    <t>au</t>
  </si>
  <si>
    <t>(indemnité de résidence + 3% incluse)</t>
  </si>
  <si>
    <t>à mettre à jour</t>
  </si>
  <si>
    <t>valeur point indice</t>
  </si>
  <si>
    <t>Zone 1 : indemnité de résidence à 3%</t>
  </si>
  <si>
    <t>Zone 3 : indemnité de résidence à 0%</t>
  </si>
  <si>
    <t>Pour connaître son salaire net en fonction des échelons, cliquez ci-dessous sur votre zone de résidence</t>
  </si>
  <si>
    <t>sans IRL</t>
  </si>
  <si>
    <t>Fiche de paie</t>
  </si>
  <si>
    <r>
      <t xml:space="preserve">Réel mensuel </t>
    </r>
    <r>
      <rPr>
        <i/>
        <sz val="10"/>
        <rFont val="Times New Roman"/>
        <family val="1"/>
      </rPr>
      <t>(avec IRL)</t>
    </r>
  </si>
  <si>
    <r>
      <t xml:space="preserve">P.E. Hors Classe
</t>
    </r>
    <r>
      <rPr>
        <sz val="9"/>
        <rFont val="Times New Roman"/>
        <family val="1"/>
      </rPr>
      <t>(accès possible en théorie à partir du 7ème échelon PE)</t>
    </r>
  </si>
  <si>
    <t>si mi-temps</t>
  </si>
  <si>
    <t>En italique, montant soumis à contribution solidarité (plafond dépassé)</t>
  </si>
  <si>
    <t>Hors cotisation MGEN</t>
  </si>
  <si>
    <t>RETOUR</t>
  </si>
  <si>
    <t>Instituteurs (trices)</t>
  </si>
  <si>
    <t>PE</t>
  </si>
  <si>
    <t>PE Hors Classe</t>
  </si>
  <si>
    <t>au 01/09/2010</t>
  </si>
  <si>
    <t>rappel au 01/11/2006</t>
  </si>
  <si>
    <t>Le net mensuel ci-dessous est arrondi à l'€ le plus proche</t>
  </si>
  <si>
    <r>
      <t xml:space="preserve">Traitements nets arrondis </t>
    </r>
    <r>
      <rPr>
        <b/>
        <sz val="14"/>
        <rFont val="Arial"/>
        <family val="2"/>
      </rPr>
      <t xml:space="preserve">(RAFP déduite)
</t>
    </r>
    <r>
      <rPr>
        <b/>
        <sz val="12"/>
        <rFont val="Arial"/>
        <family val="2"/>
      </rPr>
      <t xml:space="preserve">pour une commune à </t>
    </r>
    <r>
      <rPr>
        <b/>
        <sz val="24"/>
        <rFont val="Arial"/>
        <family val="2"/>
      </rPr>
      <t>1</t>
    </r>
    <r>
      <rPr>
        <b/>
        <sz val="18"/>
        <rFont val="Arial"/>
        <family val="2"/>
      </rPr>
      <t>%</t>
    </r>
    <r>
      <rPr>
        <b/>
        <sz val="12"/>
        <rFont val="Arial"/>
        <family val="2"/>
      </rPr>
      <t xml:space="preserve"> d'indemnité de résidence (</t>
    </r>
    <r>
      <rPr>
        <b/>
        <sz val="18"/>
        <rFont val="Arial"/>
        <family val="2"/>
      </rPr>
      <t>zone 2</t>
    </r>
    <r>
      <rPr>
        <b/>
        <sz val="12"/>
        <rFont val="Arial"/>
        <family val="2"/>
      </rPr>
      <t>)</t>
    </r>
  </si>
  <si>
    <r>
      <t xml:space="preserve">Réel mensuel </t>
    </r>
    <r>
      <rPr>
        <i/>
        <sz val="10"/>
        <rFont val="Arial"/>
        <family val="2"/>
      </rPr>
      <t>(avec IRL)</t>
    </r>
  </si>
  <si>
    <r>
      <t>Retraite</t>
    </r>
    <r>
      <rPr>
        <sz val="9"/>
        <rFont val="Arial"/>
        <family val="2"/>
      </rPr>
      <t xml:space="preserve"> 7,85% du traitement brut</t>
    </r>
  </si>
  <si>
    <r>
      <t>CRDS</t>
    </r>
    <r>
      <rPr>
        <sz val="9"/>
        <rFont val="Arial"/>
        <family val="2"/>
      </rPr>
      <t xml:space="preserve"> 0,5% (sur </t>
    </r>
    <r>
      <rPr>
        <b/>
        <sz val="9"/>
        <rFont val="Arial"/>
        <family val="2"/>
      </rPr>
      <t>97</t>
    </r>
    <r>
      <rPr>
        <sz val="9"/>
        <rFont val="Arial"/>
        <family val="2"/>
      </rPr>
      <t>% de tous les revenus, dont IRL)</t>
    </r>
  </si>
  <si>
    <r>
      <t>CSG</t>
    </r>
    <r>
      <rPr>
        <sz val="9"/>
        <rFont val="Arial"/>
        <family val="2"/>
      </rPr>
      <t xml:space="preserve"> 7,5% (sur </t>
    </r>
    <r>
      <rPr>
        <b/>
        <sz val="9"/>
        <rFont val="Arial"/>
        <family val="2"/>
      </rPr>
      <t>97</t>
    </r>
    <r>
      <rPr>
        <sz val="9"/>
        <rFont val="Arial"/>
        <family val="2"/>
      </rPr>
      <t>% de tous les revenus, dont IRL)</t>
    </r>
  </si>
  <si>
    <r>
      <t xml:space="preserve">P.E. Hors Classe
</t>
    </r>
    <r>
      <rPr>
        <sz val="7"/>
        <rFont val="Arial"/>
        <family val="2"/>
      </rPr>
      <t>(accès possible en théorie à partir du 7ème échelon PE)</t>
    </r>
  </si>
  <si>
    <r>
      <t>Contribution solidarité</t>
    </r>
    <r>
      <rPr>
        <sz val="9"/>
        <rFont val="Arial"/>
        <family val="2"/>
      </rPr>
      <t xml:space="preserve"> 1% de (trait. brut + indemnités
(sauf ISSR et IRL) + supp. familial moins pension et RAFP)</t>
    </r>
  </si>
  <si>
    <t xml:space="preserve">Taux au </t>
  </si>
  <si>
    <r>
      <t>Traitements nets arrondis</t>
    </r>
    <r>
      <rPr>
        <b/>
        <sz val="14"/>
        <rFont val="Arial"/>
        <family val="2"/>
      </rPr>
      <t xml:space="preserve"> (RAFP déduite)
</t>
    </r>
    <r>
      <rPr>
        <b/>
        <sz val="12"/>
        <rFont val="Arial"/>
        <family val="2"/>
      </rPr>
      <t xml:space="preserve">pour une commune à </t>
    </r>
    <r>
      <rPr>
        <b/>
        <sz val="24"/>
        <rFont val="Arial"/>
        <family val="2"/>
      </rPr>
      <t>3</t>
    </r>
    <r>
      <rPr>
        <b/>
        <sz val="18"/>
        <rFont val="Arial"/>
        <family val="2"/>
      </rPr>
      <t>%</t>
    </r>
    <r>
      <rPr>
        <b/>
        <sz val="12"/>
        <rFont val="Arial"/>
        <family val="2"/>
      </rPr>
      <t xml:space="preserve"> d'indemnité de résidence (</t>
    </r>
    <r>
      <rPr>
        <b/>
        <sz val="18"/>
        <rFont val="Arial"/>
        <family val="2"/>
      </rPr>
      <t>zone 1</t>
    </r>
    <r>
      <rPr>
        <b/>
        <sz val="12"/>
        <rFont val="Arial"/>
        <family val="2"/>
      </rPr>
      <t>)</t>
    </r>
  </si>
  <si>
    <r>
      <t>Retraite Additionnelle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Fonction Publique (RAFP)
</t>
    </r>
    <r>
      <rPr>
        <sz val="9"/>
        <rFont val="Arial"/>
        <family val="2"/>
      </rPr>
      <t>5% de l'indemnité de résidence et IRL</t>
    </r>
  </si>
  <si>
    <r>
      <t xml:space="preserve">P.E. Hors Classe
</t>
    </r>
    <r>
      <rPr>
        <sz val="7"/>
        <rFont val="Times New Roman"/>
        <family val="1"/>
      </rPr>
      <t>(accès possible en théorie à partir du 7ème échelon PE)</t>
    </r>
  </si>
  <si>
    <r>
      <t>Traitements nets arrondis</t>
    </r>
    <r>
      <rPr>
        <b/>
        <sz val="14"/>
        <rFont val="Times New Roman"/>
        <family val="1"/>
      </rPr>
      <t xml:space="preserve"> (RAFP déduite)
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0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3</t>
    </r>
    <r>
      <rPr>
        <b/>
        <sz val="12"/>
        <rFont val="Times New Roman"/>
        <family val="1"/>
      </rPr>
      <t>)</t>
    </r>
  </si>
  <si>
    <r>
      <t>Traitements nets arrondis</t>
    </r>
    <r>
      <rPr>
        <b/>
        <sz val="14"/>
        <rFont val="Times New Roman"/>
        <family val="1"/>
      </rPr>
      <t xml:space="preserve"> (RAFP déduite)
</t>
    </r>
    <r>
      <rPr>
        <b/>
        <u val="single"/>
        <sz val="14"/>
        <rFont val="Times New Roman"/>
        <family val="1"/>
      </rPr>
      <t>MI-TEMPS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3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1</t>
    </r>
    <r>
      <rPr>
        <b/>
        <sz val="12"/>
        <rFont val="Times New Roman"/>
        <family val="1"/>
      </rPr>
      <t>)</t>
    </r>
  </si>
  <si>
    <r>
      <t xml:space="preserve">Traitements nets arrondis </t>
    </r>
    <r>
      <rPr>
        <b/>
        <sz val="14"/>
        <rFont val="Times New Roman"/>
        <family val="1"/>
      </rPr>
      <t xml:space="preserve">(RAFP déduite)
</t>
    </r>
    <r>
      <rPr>
        <b/>
        <u val="single"/>
        <sz val="14"/>
        <rFont val="Times New Roman"/>
        <family val="1"/>
      </rPr>
      <t>MI-TEMPS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1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2</t>
    </r>
    <r>
      <rPr>
        <b/>
        <sz val="12"/>
        <rFont val="Times New Roman"/>
        <family val="1"/>
      </rPr>
      <t>)</t>
    </r>
  </si>
  <si>
    <r>
      <t>Traitements nets arrondis</t>
    </r>
    <r>
      <rPr>
        <b/>
        <sz val="14"/>
        <rFont val="Times New Roman"/>
        <family val="1"/>
      </rPr>
      <t xml:space="preserve"> (RAFP déduite)
</t>
    </r>
    <r>
      <rPr>
        <b/>
        <u val="single"/>
        <sz val="14"/>
        <rFont val="Times New Roman"/>
        <family val="1"/>
      </rPr>
      <t>MI-TEMPS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pour une commune à </t>
    </r>
    <r>
      <rPr>
        <b/>
        <sz val="24"/>
        <rFont val="Times New Roman"/>
        <family val="1"/>
      </rPr>
      <t>0</t>
    </r>
    <r>
      <rPr>
        <b/>
        <sz val="18"/>
        <rFont val="Times New Roman"/>
        <family val="1"/>
      </rPr>
      <t>%</t>
    </r>
    <r>
      <rPr>
        <b/>
        <sz val="12"/>
        <rFont val="Times New Roman"/>
        <family val="1"/>
      </rPr>
      <t xml:space="preserve"> d'indemnité de résidence (</t>
    </r>
    <r>
      <rPr>
        <b/>
        <sz val="18"/>
        <rFont val="Times New Roman"/>
        <family val="1"/>
      </rPr>
      <t>zone 3</t>
    </r>
    <r>
      <rPr>
        <b/>
        <sz val="12"/>
        <rFont val="Times New Roman"/>
        <family val="1"/>
      </rPr>
      <t>)</t>
    </r>
  </si>
  <si>
    <t>Taux retenue pension civile</t>
  </si>
  <si>
    <t>pl69</t>
  </si>
  <si>
    <t>Ces échelons sont abandonnés depuis le 1/9/2010
(les PE accèdent désormais directement au 3ème échelon)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</si>
</sst>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00&quot; F&quot;;\-#,##0.000&quot; F&quot;"/>
    <numFmt numFmtId="189" formatCode="#,##0.0&quot; F&quot;;\-#,##0.0&quot; F&quot;"/>
    <numFmt numFmtId="190" formatCode="#,##0.0000&quot; F&quot;;\-#,##0.0000&quot; F&quot;"/>
    <numFmt numFmtId="191" formatCode="#,##0.00000&quot; F&quot;;\-#,##0.00000&quot; F&quot;"/>
    <numFmt numFmtId="192" formatCode="#,##0.000000&quot; F&quot;;\-#,##0.000000&quot; F&quot;"/>
    <numFmt numFmtId="193" formatCode="#,##0\ [$€-1]"/>
    <numFmt numFmtId="194" formatCode="_-* #,##0.00[$€]_-;\-* #,##0.00[$€]_-;_-* &quot;-&quot;??[$€]_-;_-@_-"/>
    <numFmt numFmtId="195" formatCode="_-* #,##0.00\ [$€-1]_-;\-* #,##0.00\ [$€-1]_-;_-* &quot;-&quot;??\ [$€-1]_-;_-@_-"/>
    <numFmt numFmtId="196" formatCode="_-* #,##0.000\ [$€-1]_-;\-* #,##0.000\ [$€-1]_-;_-* &quot;-&quot;??\ [$€-1]_-;_-@_-"/>
    <numFmt numFmtId="197" formatCode="_-* #,##0.0000\ [$€-1]_-;\-* #,##0.0000\ [$€-1]_-;_-* &quot;-&quot;??\ [$€-1]_-;_-@_-"/>
    <numFmt numFmtId="198" formatCode="_-* #,##0.00000\ [$€-1]_-;\-* #,##0.00000\ [$€-1]_-;_-* &quot;-&quot;??\ [$€-1]_-;_-@_-"/>
    <numFmt numFmtId="199" formatCode="#,##0.00\ [$€-1]"/>
    <numFmt numFmtId="200" formatCode="_-* #,##0.00\ [$F-40C]_-;\-* #,##0.00\ [$F-40C]_-;_-* &quot;-&quot;??\ [$F-40C]_-;_-@_-"/>
    <numFmt numFmtId="201" formatCode="_-* #,##0.0\ [$€-1]_-;\-* #,##0.0\ [$€-1]_-;_-* &quot;-&quot;??\ [$€-1]_-;_-@_-"/>
    <numFmt numFmtId="202" formatCode="_-* #,##0\ [$€-1]_-;\-* #,##0\ [$€-1]_-;_-* &quot;-&quot;??\ [$€-1]_-;_-@_-"/>
    <numFmt numFmtId="203" formatCode="#,##0\ [$F-40C]"/>
    <numFmt numFmtId="204" formatCode="#,##0.000\ [$€-1]"/>
    <numFmt numFmtId="205" formatCode="#,##0.0000\ [$€-1]"/>
    <numFmt numFmtId="206" formatCode="#,##0.00\ [$F-40C];\-#,##0.00\ [$F-40C]"/>
    <numFmt numFmtId="207" formatCode="&quot;Vrai&quot;;&quot;Vrai&quot;;&quot;Faux&quot;"/>
    <numFmt numFmtId="208" formatCode="&quot;Actif&quot;;&quot;Actif&quot;;&quot;Inactif&quot;"/>
    <numFmt numFmtId="209" formatCode="#,##0.00000\ [$€-1]"/>
    <numFmt numFmtId="210" formatCode="#,##0.000000\ [$€-1]"/>
    <numFmt numFmtId="211" formatCode="#,##0.0000000\ [$€-1]"/>
    <numFmt numFmtId="212" formatCode="#,##0.00&quot; F&quot;"/>
    <numFmt numFmtId="213" formatCode="_ * #,##0.00_ \ [$€-1]_ ;_ * \-#,##0.00\ \ [$€-1]_ ;_ * &quot;-&quot;??_ \ [$€-1]_ ;_ @_ "/>
    <numFmt numFmtId="214" formatCode="\ @"/>
    <numFmt numFmtId="215" formatCode="_-* #,##0.0000\ [$€-1]_-;\-* #,##0.0000\ [$€-1]_-;_-* &quot;-&quot;????\ [$€-1]_-;_-@_-"/>
    <numFmt numFmtId="216" formatCode="#,##0.0000\ [$€-1];\-#,##0.0000\ [$€-1]"/>
    <numFmt numFmtId="217" formatCode="#,##0.00\ &quot;€&quot;"/>
    <numFmt numFmtId="218" formatCode="#,##0.00\ [$€-1];\-#,##0.00\ [$€-1]"/>
    <numFmt numFmtId="219" formatCode="##&quot; ème échelon&quot;"/>
    <numFmt numFmtId="220" formatCode="##&quot;ème échelon&quot;"/>
    <numFmt numFmtId="221" formatCode="#,##0\ [$€-40C];\-#,##0\ [$€-40C]"/>
    <numFmt numFmtId="222" formatCode="#,##0\ &quot;€&quot;"/>
    <numFmt numFmtId="223" formatCode="#,##0\ &quot;€&quot;&quot;)&quot;"/>
    <numFmt numFmtId="224" formatCode="#,##0\ [$€-1];\-#,##0\ [$€-1]"/>
    <numFmt numFmtId="225" formatCode="B2dd/mm/yyyy"/>
    <numFmt numFmtId="226" formatCode="0.0%"/>
  </numFmts>
  <fonts count="61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3.7"/>
      <color indexed="12"/>
      <name val="Times"/>
      <family val="0"/>
    </font>
    <font>
      <u val="single"/>
      <sz val="13.7"/>
      <color indexed="36"/>
      <name val="Times"/>
      <family val="0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9"/>
      <name val="Times New Roman"/>
      <family val="1"/>
    </font>
    <font>
      <sz val="14"/>
      <color indexed="12"/>
      <name val="Times New Roman"/>
      <family val="1"/>
    </font>
    <font>
      <b/>
      <sz val="24"/>
      <color indexed="12"/>
      <name val="Times New Roman"/>
      <family val="1"/>
    </font>
    <font>
      <b/>
      <sz val="24"/>
      <color indexed="9"/>
      <name val="Times New Roman"/>
      <family val="1"/>
    </font>
    <font>
      <sz val="14"/>
      <color indexed="10"/>
      <name val="Times New Roman"/>
      <family val="1"/>
    </font>
    <font>
      <i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z val="14"/>
      <color indexed="56"/>
      <name val="Times New Roman"/>
      <family val="1"/>
    </font>
    <font>
      <i/>
      <sz val="14"/>
      <color indexed="56"/>
      <name val="Times New Roman"/>
      <family val="1"/>
    </font>
    <font>
      <b/>
      <i/>
      <sz val="14"/>
      <color indexed="10"/>
      <name val="Times New Roman"/>
      <family val="1"/>
    </font>
    <font>
      <b/>
      <sz val="24"/>
      <name val="Times"/>
      <family val="0"/>
    </font>
    <font>
      <b/>
      <sz val="18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24"/>
      <color indexed="12"/>
      <name val="Times"/>
      <family val="1"/>
    </font>
    <font>
      <b/>
      <sz val="24"/>
      <color indexed="9"/>
      <name val="Times"/>
      <family val="1"/>
    </font>
    <font>
      <b/>
      <sz val="18"/>
      <name val="Times"/>
      <family val="0"/>
    </font>
    <font>
      <sz val="18"/>
      <name val="Times New Roman"/>
      <family val="1"/>
    </font>
    <font>
      <sz val="18"/>
      <name val="Times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sz val="18"/>
      <name val="Times"/>
      <family val="0"/>
    </font>
    <font>
      <b/>
      <u val="single"/>
      <sz val="2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b/>
      <u val="single"/>
      <sz val="18"/>
      <color indexed="18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0" applyFont="1" applyAlignment="1" applyProtection="1">
      <alignment vertical="center"/>
      <protection/>
    </xf>
    <xf numFmtId="205" fontId="12" fillId="0" borderId="1" xfId="0" applyNumberFormat="1" applyFont="1" applyBorder="1" applyAlignment="1" applyProtection="1">
      <alignment horizontal="center" vertical="center"/>
      <protection locked="0"/>
    </xf>
    <xf numFmtId="199" fontId="25" fillId="0" borderId="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205" fontId="12" fillId="0" borderId="2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4" fontId="12" fillId="0" borderId="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205" fontId="12" fillId="0" borderId="0" xfId="0" applyNumberFormat="1" applyFont="1" applyBorder="1" applyAlignment="1" applyProtection="1">
      <alignment horizontal="center" vertical="center"/>
      <protection/>
    </xf>
    <xf numFmtId="14" fontId="1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26" fillId="0" borderId="0" xfId="16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3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7" fillId="0" borderId="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horizontal="centerContinuous" vertical="center"/>
      <protection/>
    </xf>
    <xf numFmtId="0" fontId="4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right" vertical="center"/>
      <protection/>
    </xf>
    <xf numFmtId="200" fontId="50" fillId="0" borderId="0" xfId="15" applyNumberFormat="1" applyFont="1" applyAlignment="1" applyProtection="1">
      <alignment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0" fillId="0" borderId="9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 applyProtection="1">
      <alignment horizontal="center" vertical="center"/>
      <protection/>
    </xf>
    <xf numFmtId="224" fontId="40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 horizontal="center" vertical="center"/>
      <protection/>
    </xf>
    <xf numFmtId="222" fontId="40" fillId="0" borderId="13" xfId="0" applyNumberFormat="1" applyFont="1" applyFill="1" applyBorder="1" applyAlignment="1" applyProtection="1">
      <alignment horizontal="center" vertical="center"/>
      <protection/>
    </xf>
    <xf numFmtId="222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 applyProtection="1">
      <alignment horizontal="center" vertical="center"/>
      <protection/>
    </xf>
    <xf numFmtId="224" fontId="40" fillId="0" borderId="1" xfId="0" applyNumberFormat="1" applyFont="1" applyFill="1" applyBorder="1" applyAlignment="1" applyProtection="1">
      <alignment horizontal="center" vertical="center"/>
      <protection/>
    </xf>
    <xf numFmtId="222" fontId="40" fillId="0" borderId="1" xfId="0" applyNumberFormat="1" applyFont="1" applyFill="1" applyBorder="1" applyAlignment="1" applyProtection="1">
      <alignment horizontal="center" vertical="center"/>
      <protection/>
    </xf>
    <xf numFmtId="222" fontId="40" fillId="0" borderId="18" xfId="0" applyNumberFormat="1" applyFont="1" applyFill="1" applyBorder="1" applyAlignment="1" applyProtection="1">
      <alignment horizontal="center" vertical="center"/>
      <protection/>
    </xf>
    <xf numFmtId="0" fontId="40" fillId="0" borderId="19" xfId="0" applyFont="1" applyFill="1" applyBorder="1" applyAlignment="1" applyProtection="1">
      <alignment horizontal="center" vertical="center"/>
      <protection/>
    </xf>
    <xf numFmtId="0" fontId="39" fillId="0" borderId="20" xfId="0" applyFont="1" applyFill="1" applyBorder="1" applyAlignment="1" applyProtection="1">
      <alignment horizontal="center" vertical="center"/>
      <protection/>
    </xf>
    <xf numFmtId="224" fontId="40" fillId="0" borderId="21" xfId="0" applyNumberFormat="1" applyFont="1" applyFill="1" applyBorder="1" applyAlignment="1" applyProtection="1">
      <alignment horizontal="center" vertical="center"/>
      <protection/>
    </xf>
    <xf numFmtId="222" fontId="40" fillId="0" borderId="21" xfId="0" applyNumberFormat="1" applyFont="1" applyFill="1" applyBorder="1" applyAlignment="1" applyProtection="1">
      <alignment horizontal="center" vertical="center"/>
      <protection/>
    </xf>
    <xf numFmtId="222" fontId="40" fillId="0" borderId="22" xfId="0" applyNumberFormat="1" applyFont="1" applyFill="1" applyBorder="1" applyAlignment="1" applyProtection="1">
      <alignment horizontal="center"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48" fillId="0" borderId="25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199" fontId="55" fillId="0" borderId="0" xfId="0" applyNumberFormat="1" applyFont="1" applyBorder="1" applyAlignment="1" applyProtection="1">
      <alignment horizontal="center" vertical="center"/>
      <protection/>
    </xf>
    <xf numFmtId="199" fontId="54" fillId="0" borderId="0" xfId="0" applyNumberFormat="1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horizontal="left" vertical="center"/>
      <protection/>
    </xf>
    <xf numFmtId="224" fontId="40" fillId="0" borderId="15" xfId="0" applyNumberFormat="1" applyFont="1" applyFill="1" applyBorder="1" applyAlignment="1" applyProtection="1">
      <alignment horizontal="center" vertical="center"/>
      <protection/>
    </xf>
    <xf numFmtId="224" fontId="40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left" vertical="center" indent="1"/>
      <protection/>
    </xf>
    <xf numFmtId="0" fontId="40" fillId="0" borderId="26" xfId="0" applyFont="1" applyFill="1" applyBorder="1" applyAlignment="1" applyProtection="1">
      <alignment horizontal="center" vertical="center"/>
      <protection/>
    </xf>
    <xf numFmtId="0" fontId="39" fillId="0" borderId="27" xfId="0" applyFont="1" applyFill="1" applyBorder="1" applyAlignment="1" applyProtection="1">
      <alignment horizontal="center" vertical="center"/>
      <protection/>
    </xf>
    <xf numFmtId="0" fontId="40" fillId="0" borderId="28" xfId="0" applyFont="1" applyFill="1" applyBorder="1" applyAlignment="1" applyProtection="1">
      <alignment horizontal="center" vertical="center"/>
      <protection/>
    </xf>
    <xf numFmtId="0" fontId="39" fillId="0" borderId="29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left" vertical="center" indent="1"/>
      <protection/>
    </xf>
    <xf numFmtId="224" fontId="40" fillId="0" borderId="22" xfId="0" applyNumberFormat="1" applyFont="1" applyFill="1" applyBorder="1" applyAlignment="1" applyProtection="1">
      <alignment horizontal="center" vertical="center"/>
      <protection/>
    </xf>
    <xf numFmtId="0" fontId="39" fillId="0" borderId="30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vertical="center"/>
    </xf>
    <xf numFmtId="0" fontId="51" fillId="0" borderId="0" xfId="0" applyFont="1" applyAlignment="1" applyProtection="1">
      <alignment horizontal="center" vertical="center"/>
      <protection/>
    </xf>
    <xf numFmtId="199" fontId="40" fillId="0" borderId="0" xfId="0" applyNumberFormat="1" applyFont="1" applyFill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7" fillId="0" borderId="0" xfId="0" applyFont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57" fillId="0" borderId="0" xfId="0" applyFont="1" applyAlignment="1" applyProtection="1">
      <alignment horizontal="left" vertical="center" indent="1"/>
      <protection/>
    </xf>
    <xf numFmtId="0" fontId="58" fillId="0" borderId="0" xfId="0" applyFont="1" applyBorder="1" applyAlignment="1" applyProtection="1">
      <alignment horizontal="left" vertical="center" indent="1"/>
      <protection/>
    </xf>
    <xf numFmtId="0" fontId="57" fillId="0" borderId="0" xfId="0" applyFont="1" applyBorder="1" applyAlignment="1" applyProtection="1">
      <alignment horizontal="left" vertical="center" indent="1"/>
      <protection/>
    </xf>
    <xf numFmtId="0" fontId="55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right" vertical="center"/>
      <protection/>
    </xf>
    <xf numFmtId="0" fontId="39" fillId="0" borderId="11" xfId="0" applyFont="1" applyBorder="1" applyAlignment="1" applyProtection="1">
      <alignment vertical="center"/>
      <protection/>
    </xf>
    <xf numFmtId="14" fontId="40" fillId="0" borderId="0" xfId="0" applyNumberFormat="1" applyFont="1" applyBorder="1" applyAlignment="1" applyProtection="1">
      <alignment horizontal="left" vertical="center"/>
      <protection/>
    </xf>
    <xf numFmtId="224" fontId="53" fillId="0" borderId="18" xfId="0" applyNumberFormat="1" applyFont="1" applyFill="1" applyBorder="1" applyAlignment="1" applyProtection="1">
      <alignment horizontal="center" vertical="center"/>
      <protection/>
    </xf>
    <xf numFmtId="224" fontId="53" fillId="0" borderId="22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31" xfId="0" applyFont="1" applyBorder="1" applyAlignment="1" applyProtection="1">
      <alignment horizontal="center" vertical="center"/>
      <protection/>
    </xf>
    <xf numFmtId="10" fontId="25" fillId="0" borderId="1" xfId="22" applyNumberFormat="1" applyFont="1" applyBorder="1" applyAlignment="1" applyProtection="1">
      <alignment horizontal="center" vertical="center"/>
      <protection locked="0"/>
    </xf>
    <xf numFmtId="14" fontId="12" fillId="0" borderId="32" xfId="0" applyNumberFormat="1" applyFont="1" applyBorder="1" applyAlignment="1" applyProtection="1">
      <alignment horizontal="center" vertical="center"/>
      <protection locked="0"/>
    </xf>
    <xf numFmtId="14" fontId="12" fillId="0" borderId="2" xfId="0" applyNumberFormat="1" applyFont="1" applyBorder="1" applyAlignment="1" applyProtection="1">
      <alignment horizontal="center" vertical="center"/>
      <protection locked="0"/>
    </xf>
    <xf numFmtId="14" fontId="12" fillId="0" borderId="33" xfId="0" applyNumberFormat="1" applyFont="1" applyBorder="1" applyAlignment="1" applyProtection="1">
      <alignment horizontal="center" vertical="center"/>
      <protection locked="0"/>
    </xf>
    <xf numFmtId="14" fontId="25" fillId="0" borderId="32" xfId="0" applyNumberFormat="1" applyFont="1" applyBorder="1" applyAlignment="1" applyProtection="1">
      <alignment horizontal="center" vertical="center"/>
      <protection locked="0"/>
    </xf>
    <xf numFmtId="14" fontId="25" fillId="0" borderId="2" xfId="0" applyNumberFormat="1" applyFont="1" applyBorder="1" applyAlignment="1" applyProtection="1">
      <alignment horizontal="center" vertical="center"/>
      <protection locked="0"/>
    </xf>
    <xf numFmtId="14" fontId="25" fillId="0" borderId="33" xfId="0" applyNumberFormat="1" applyFont="1" applyBorder="1" applyAlignment="1" applyProtection="1">
      <alignment horizontal="center" vertical="center"/>
      <protection locked="0"/>
    </xf>
    <xf numFmtId="0" fontId="26" fillId="0" borderId="32" xfId="16" applyFont="1" applyBorder="1" applyAlignment="1" applyProtection="1">
      <alignment horizontal="center" vertical="center"/>
      <protection/>
    </xf>
    <xf numFmtId="0" fontId="26" fillId="0" borderId="2" xfId="16" applyFont="1" applyBorder="1" applyAlignment="1" applyProtection="1">
      <alignment horizontal="center" vertical="center"/>
      <protection/>
    </xf>
    <xf numFmtId="0" fontId="26" fillId="0" borderId="33" xfId="16" applyFont="1" applyBorder="1" applyAlignment="1" applyProtection="1">
      <alignment horizontal="center" vertical="center"/>
      <protection/>
    </xf>
    <xf numFmtId="0" fontId="29" fillId="2" borderId="34" xfId="16" applyFont="1" applyFill="1" applyBorder="1" applyAlignment="1" applyProtection="1">
      <alignment horizontal="center" vertical="center"/>
      <protection/>
    </xf>
    <xf numFmtId="0" fontId="29" fillId="2" borderId="35" xfId="16" applyFont="1" applyFill="1" applyBorder="1" applyAlignment="1" applyProtection="1">
      <alignment horizontal="center" vertical="center"/>
      <protection/>
    </xf>
    <xf numFmtId="0" fontId="29" fillId="2" borderId="36" xfId="16" applyFont="1" applyFill="1" applyBorder="1" applyAlignment="1" applyProtection="1">
      <alignment horizontal="center" vertical="center"/>
      <protection/>
    </xf>
    <xf numFmtId="0" fontId="26" fillId="0" borderId="32" xfId="16" applyFont="1" applyBorder="1" applyAlignment="1" applyProtection="1">
      <alignment horizontal="center" vertical="center"/>
      <protection/>
    </xf>
    <xf numFmtId="0" fontId="26" fillId="0" borderId="2" xfId="16" applyFont="1" applyBorder="1" applyAlignment="1" applyProtection="1">
      <alignment horizontal="center" vertical="center"/>
      <protection/>
    </xf>
    <xf numFmtId="0" fontId="26" fillId="0" borderId="33" xfId="16" applyFont="1" applyBorder="1" applyAlignment="1" applyProtection="1">
      <alignment horizontal="center" vertical="center"/>
      <protection/>
    </xf>
    <xf numFmtId="0" fontId="30" fillId="3" borderId="32" xfId="16" applyFont="1" applyFill="1" applyBorder="1" applyAlignment="1" applyProtection="1">
      <alignment horizontal="center" vertical="center"/>
      <protection/>
    </xf>
    <xf numFmtId="0" fontId="30" fillId="3" borderId="2" xfId="16" applyFont="1" applyFill="1" applyBorder="1" applyAlignment="1" applyProtection="1">
      <alignment horizontal="center" vertical="center"/>
      <protection/>
    </xf>
    <xf numFmtId="0" fontId="30" fillId="3" borderId="33" xfId="16" applyFont="1" applyFill="1" applyBorder="1" applyAlignment="1" applyProtection="1">
      <alignment horizontal="center" vertical="center"/>
      <protection/>
    </xf>
    <xf numFmtId="0" fontId="58" fillId="0" borderId="24" xfId="0" applyFont="1" applyBorder="1" applyAlignment="1" applyProtection="1">
      <alignment horizontal="left" vertical="center" wrapText="1" indent="1"/>
      <protection/>
    </xf>
    <xf numFmtId="0" fontId="58" fillId="0" borderId="0" xfId="0" applyFont="1" applyBorder="1" applyAlignment="1" applyProtection="1">
      <alignment horizontal="left" vertical="center" wrapText="1" indent="1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30" xfId="0" applyFont="1" applyBorder="1" applyAlignment="1" applyProtection="1">
      <alignment horizontal="center" vertical="center"/>
      <protection/>
    </xf>
    <xf numFmtId="0" fontId="53" fillId="0" borderId="40" xfId="0" applyFont="1" applyBorder="1" applyAlignment="1" applyProtection="1">
      <alignment horizontal="center" vertical="center"/>
      <protection/>
    </xf>
    <xf numFmtId="0" fontId="37" fillId="0" borderId="0" xfId="16" applyFont="1" applyAlignment="1" applyProtection="1">
      <alignment horizontal="center" vertical="center"/>
      <protection locked="0"/>
    </xf>
    <xf numFmtId="205" fontId="49" fillId="0" borderId="41" xfId="0" applyNumberFormat="1" applyFont="1" applyFill="1" applyBorder="1" applyAlignment="1" applyProtection="1">
      <alignment horizontal="center" vertical="center"/>
      <protection/>
    </xf>
    <xf numFmtId="205" fontId="49" fillId="0" borderId="42" xfId="0" applyNumberFormat="1" applyFont="1" applyFill="1" applyBorder="1" applyAlignment="1" applyProtection="1">
      <alignment horizontal="center" vertical="center"/>
      <protection/>
    </xf>
    <xf numFmtId="199" fontId="40" fillId="0" borderId="0" xfId="0" applyNumberFormat="1" applyFont="1" applyFill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40" fillId="4" borderId="43" xfId="0" applyFont="1" applyFill="1" applyBorder="1" applyAlignment="1" applyProtection="1">
      <alignment horizontal="center" vertical="center"/>
      <protection/>
    </xf>
    <xf numFmtId="0" fontId="40" fillId="4" borderId="44" xfId="0" applyFont="1" applyFill="1" applyBorder="1" applyAlignment="1" applyProtection="1">
      <alignment horizontal="center" vertical="center"/>
      <protection/>
    </xf>
    <xf numFmtId="0" fontId="40" fillId="4" borderId="45" xfId="0" applyFont="1" applyFill="1" applyBorder="1" applyAlignment="1" applyProtection="1">
      <alignment horizontal="center" vertical="center"/>
      <protection/>
    </xf>
    <xf numFmtId="0" fontId="41" fillId="5" borderId="46" xfId="0" applyFont="1" applyFill="1" applyBorder="1" applyAlignment="1" applyProtection="1">
      <alignment horizontal="center" vertical="center" wrapText="1"/>
      <protection/>
    </xf>
    <xf numFmtId="0" fontId="41" fillId="5" borderId="23" xfId="0" applyFont="1" applyFill="1" applyBorder="1" applyAlignment="1" applyProtection="1">
      <alignment horizontal="center" vertical="center" wrapText="1"/>
      <protection/>
    </xf>
    <xf numFmtId="0" fontId="41" fillId="5" borderId="47" xfId="0" applyFont="1" applyFill="1" applyBorder="1" applyAlignment="1" applyProtection="1">
      <alignment horizontal="center" vertical="center" wrapText="1"/>
      <protection/>
    </xf>
    <xf numFmtId="0" fontId="41" fillId="5" borderId="25" xfId="0" applyFont="1" applyFill="1" applyBorder="1" applyAlignment="1" applyProtection="1">
      <alignment horizontal="center" vertical="center" wrapText="1"/>
      <protection/>
    </xf>
    <xf numFmtId="0" fontId="53" fillId="0" borderId="48" xfId="0" applyFont="1" applyBorder="1" applyAlignment="1" applyProtection="1">
      <alignment horizontal="center" vertical="center"/>
      <protection/>
    </xf>
    <xf numFmtId="0" fontId="53" fillId="0" borderId="49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Fill="1" applyBorder="1" applyAlignment="1" applyProtection="1">
      <alignment horizontal="center" vertical="center" wrapText="1"/>
      <protection/>
    </xf>
    <xf numFmtId="14" fontId="45" fillId="0" borderId="25" xfId="0" applyNumberFormat="1" applyFont="1" applyFill="1" applyBorder="1" applyAlignment="1" applyProtection="1">
      <alignment horizontal="center" vertical="center" wrapText="1"/>
      <protection/>
    </xf>
    <xf numFmtId="14" fontId="45" fillId="0" borderId="50" xfId="0" applyNumberFormat="1" applyFont="1" applyFill="1" applyBorder="1" applyAlignment="1" applyProtection="1">
      <alignment horizontal="center" vertical="center" wrapText="1"/>
      <protection/>
    </xf>
    <xf numFmtId="199" fontId="40" fillId="0" borderId="43" xfId="0" applyNumberFormat="1" applyFont="1" applyBorder="1" applyAlignment="1" applyProtection="1">
      <alignment horizontal="center" vertical="center"/>
      <protection/>
    </xf>
    <xf numFmtId="199" fontId="40" fillId="0" borderId="45" xfId="0" applyNumberFormat="1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40" fillId="2" borderId="43" xfId="0" applyFont="1" applyFill="1" applyBorder="1" applyAlignment="1" applyProtection="1">
      <alignment horizontal="center" vertical="center"/>
      <protection/>
    </xf>
    <xf numFmtId="0" fontId="40" fillId="2" borderId="44" xfId="0" applyFont="1" applyFill="1" applyBorder="1" applyAlignment="1" applyProtection="1">
      <alignment horizontal="center" vertical="center"/>
      <protection/>
    </xf>
    <xf numFmtId="0" fontId="40" fillId="2" borderId="45" xfId="0" applyFont="1" applyFill="1" applyBorder="1" applyAlignment="1" applyProtection="1">
      <alignment horizontal="center" vertical="center"/>
      <protection/>
    </xf>
    <xf numFmtId="0" fontId="53" fillId="0" borderId="51" xfId="0" applyFont="1" applyBorder="1" applyAlignment="1" applyProtection="1">
      <alignment horizontal="center" vertical="center"/>
      <protection/>
    </xf>
    <xf numFmtId="0" fontId="40" fillId="2" borderId="23" xfId="0" applyFont="1" applyFill="1" applyBorder="1" applyAlignment="1" applyProtection="1">
      <alignment horizontal="center" vertical="center" wrapText="1"/>
      <protection/>
    </xf>
    <xf numFmtId="0" fontId="40" fillId="2" borderId="26" xfId="0" applyFont="1" applyFill="1" applyBorder="1" applyAlignment="1" applyProtection="1">
      <alignment horizontal="center" vertical="center" wrapText="1"/>
      <protection/>
    </xf>
    <xf numFmtId="0" fontId="40" fillId="2" borderId="25" xfId="0" applyFont="1" applyFill="1" applyBorder="1" applyAlignment="1" applyProtection="1">
      <alignment horizontal="center" vertical="center" wrapText="1"/>
      <protection/>
    </xf>
    <xf numFmtId="0" fontId="40" fillId="2" borderId="50" xfId="0" applyFont="1" applyFill="1" applyBorder="1" applyAlignment="1" applyProtection="1">
      <alignment horizontal="center" vertical="center" wrapText="1"/>
      <protection/>
    </xf>
    <xf numFmtId="199" fontId="40" fillId="0" borderId="44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3" fillId="0" borderId="48" xfId="0" applyFont="1" applyBorder="1" applyAlignment="1" applyProtection="1">
      <alignment horizontal="center" vertical="center" wrapText="1"/>
      <protection/>
    </xf>
    <xf numFmtId="0" fontId="53" fillId="0" borderId="49" xfId="0" applyFont="1" applyBorder="1" applyAlignment="1" applyProtection="1">
      <alignment horizontal="center" vertical="center" wrapText="1"/>
      <protection/>
    </xf>
    <xf numFmtId="14" fontId="53" fillId="0" borderId="0" xfId="0" applyNumberFormat="1" applyFont="1" applyBorder="1" applyAlignment="1" applyProtection="1">
      <alignment horizontal="left" vertical="center"/>
      <protection/>
    </xf>
    <xf numFmtId="14" fontId="53" fillId="0" borderId="52" xfId="0" applyNumberFormat="1" applyFont="1" applyBorder="1" applyAlignment="1" applyProtection="1">
      <alignment horizontal="left" vertical="center"/>
      <protection/>
    </xf>
    <xf numFmtId="0" fontId="41" fillId="6" borderId="46" xfId="0" applyFont="1" applyFill="1" applyBorder="1" applyAlignment="1" applyProtection="1">
      <alignment horizontal="center" vertical="center" wrapText="1"/>
      <protection/>
    </xf>
    <xf numFmtId="0" fontId="41" fillId="6" borderId="23" xfId="0" applyFont="1" applyFill="1" applyBorder="1" applyAlignment="1" applyProtection="1">
      <alignment horizontal="center" vertical="center" wrapText="1"/>
      <protection/>
    </xf>
    <xf numFmtId="0" fontId="41" fillId="6" borderId="26" xfId="0" applyFont="1" applyFill="1" applyBorder="1" applyAlignment="1" applyProtection="1">
      <alignment horizontal="center" vertical="center" wrapText="1"/>
      <protection/>
    </xf>
    <xf numFmtId="0" fontId="41" fillId="6" borderId="47" xfId="0" applyFont="1" applyFill="1" applyBorder="1" applyAlignment="1" applyProtection="1">
      <alignment horizontal="center" vertical="center" wrapText="1"/>
      <protection/>
    </xf>
    <xf numFmtId="0" fontId="41" fillId="6" borderId="25" xfId="0" applyFont="1" applyFill="1" applyBorder="1" applyAlignment="1" applyProtection="1">
      <alignment horizontal="center" vertical="center" wrapText="1"/>
      <protection/>
    </xf>
    <xf numFmtId="0" fontId="41" fillId="6" borderId="50" xfId="0" applyFont="1" applyFill="1" applyBorder="1" applyAlignment="1" applyProtection="1">
      <alignment horizontal="center" vertical="center" wrapText="1"/>
      <protection/>
    </xf>
    <xf numFmtId="0" fontId="45" fillId="4" borderId="53" xfId="0" applyFont="1" applyFill="1" applyBorder="1" applyAlignment="1" applyProtection="1">
      <alignment horizontal="center" vertical="center" wrapText="1"/>
      <protection/>
    </xf>
    <xf numFmtId="0" fontId="45" fillId="4" borderId="54" xfId="0" applyFont="1" applyFill="1" applyBorder="1" applyAlignment="1" applyProtection="1">
      <alignment horizontal="center" vertical="center" wrapText="1"/>
      <protection/>
    </xf>
    <xf numFmtId="14" fontId="45" fillId="4" borderId="55" xfId="0" applyNumberFormat="1" applyFont="1" applyFill="1" applyBorder="1" applyAlignment="1" applyProtection="1">
      <alignment horizontal="center" vertical="center" wrapText="1"/>
      <protection/>
    </xf>
    <xf numFmtId="14" fontId="45" fillId="4" borderId="5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 wrapText="1" indent="1"/>
    </xf>
    <xf numFmtId="0" fontId="48" fillId="0" borderId="60" xfId="0" applyFont="1" applyFill="1" applyBorder="1" applyAlignment="1">
      <alignment horizontal="left" vertical="center" wrapText="1" indent="1"/>
    </xf>
    <xf numFmtId="0" fontId="48" fillId="0" borderId="61" xfId="0" applyFont="1" applyFill="1" applyBorder="1" applyAlignment="1">
      <alignment horizontal="left" vertical="center" wrapText="1" indent="1"/>
    </xf>
    <xf numFmtId="0" fontId="48" fillId="0" borderId="0" xfId="0" applyFont="1" applyFill="1" applyBorder="1" applyAlignment="1">
      <alignment horizontal="left" vertical="center" wrapText="1" indent="1"/>
    </xf>
    <xf numFmtId="0" fontId="48" fillId="0" borderId="62" xfId="0" applyFont="1" applyFill="1" applyBorder="1" applyAlignment="1">
      <alignment horizontal="left" vertical="center" wrapText="1" indent="1"/>
    </xf>
    <xf numFmtId="0" fontId="53" fillId="0" borderId="63" xfId="0" applyFont="1" applyBorder="1" applyAlignment="1" applyProtection="1">
      <alignment horizontal="center" vertical="center"/>
      <protection/>
    </xf>
    <xf numFmtId="0" fontId="53" fillId="0" borderId="64" xfId="0" applyFont="1" applyBorder="1" applyAlignment="1" applyProtection="1">
      <alignment horizontal="center" vertical="center"/>
      <protection/>
    </xf>
    <xf numFmtId="224" fontId="40" fillId="0" borderId="65" xfId="0" applyNumberFormat="1" applyFont="1" applyFill="1" applyBorder="1" applyAlignment="1" applyProtection="1">
      <alignment horizontal="center" vertical="center"/>
      <protection/>
    </xf>
    <xf numFmtId="0" fontId="40" fillId="0" borderId="66" xfId="0" applyFont="1" applyFill="1" applyBorder="1" applyAlignment="1" applyProtection="1">
      <alignment horizontal="center" vertical="center"/>
      <protection/>
    </xf>
    <xf numFmtId="0" fontId="40" fillId="0" borderId="67" xfId="0" applyFont="1" applyFill="1" applyBorder="1" applyAlignment="1" applyProtection="1">
      <alignment horizontal="center" vertical="center"/>
      <protection/>
    </xf>
    <xf numFmtId="0" fontId="40" fillId="2" borderId="46" xfId="0" applyFont="1" applyFill="1" applyBorder="1" applyAlignment="1" applyProtection="1">
      <alignment horizontal="center" vertical="center" wrapText="1"/>
      <protection/>
    </xf>
    <xf numFmtId="0" fontId="40" fillId="2" borderId="4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2">
    <dxf>
      <fill>
        <patternFill>
          <bgColor rgb="FFFFFF99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904875</xdr:colOff>
      <xdr:row>5</xdr:row>
      <xdr:rowOff>28575</xdr:rowOff>
    </xdr:from>
    <xdr:to>
      <xdr:col>11</xdr:col>
      <xdr:colOff>809625</xdr:colOff>
      <xdr:row>8</xdr:row>
      <xdr:rowOff>180975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8943975" y="790575"/>
          <a:ext cx="1371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5</xdr:row>
      <xdr:rowOff>180975</xdr:rowOff>
    </xdr:from>
    <xdr:to>
      <xdr:col>9</xdr:col>
      <xdr:colOff>314325</xdr:colOff>
      <xdr:row>7</xdr:row>
      <xdr:rowOff>533400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984509">
          <a:off x="7248525" y="942975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28</xdr:row>
      <xdr:rowOff>247650</xdr:rowOff>
    </xdr:from>
    <xdr:to>
      <xdr:col>10</xdr:col>
      <xdr:colOff>133350</xdr:colOff>
      <xdr:row>35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7991475" y="7581900"/>
          <a:ext cx="1619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30</xdr:row>
      <xdr:rowOff>171450</xdr:rowOff>
    </xdr:from>
    <xdr:to>
      <xdr:col>7</xdr:col>
      <xdr:colOff>304800</xdr:colOff>
      <xdr:row>34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5648325" y="8048625"/>
          <a:ext cx="962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1162050</xdr:colOff>
      <xdr:row>28</xdr:row>
      <xdr:rowOff>295275</xdr:rowOff>
    </xdr:from>
    <xdr:to>
      <xdr:col>10</xdr:col>
      <xdr:colOff>381000</xdr:colOff>
      <xdr:row>35</xdr:row>
      <xdr:rowOff>114300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8239125" y="7629525"/>
          <a:ext cx="1619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28</xdr:row>
      <xdr:rowOff>200025</xdr:rowOff>
    </xdr:from>
    <xdr:to>
      <xdr:col>9</xdr:col>
      <xdr:colOff>238125</xdr:colOff>
      <xdr:row>35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6915150" y="7534275"/>
          <a:ext cx="16002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28</xdr:row>
      <xdr:rowOff>247650</xdr:rowOff>
    </xdr:from>
    <xdr:to>
      <xdr:col>9</xdr:col>
      <xdr:colOff>1066800</xdr:colOff>
      <xdr:row>35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7743825" y="7581900"/>
          <a:ext cx="16002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28</xdr:row>
      <xdr:rowOff>180975</xdr:rowOff>
    </xdr:from>
    <xdr:to>
      <xdr:col>9</xdr:col>
      <xdr:colOff>485775</xdr:colOff>
      <xdr:row>35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7162800" y="7515225"/>
          <a:ext cx="16002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11</xdr:row>
      <xdr:rowOff>171450</xdr:rowOff>
    </xdr:from>
    <xdr:to>
      <xdr:col>7</xdr:col>
      <xdr:colOff>1390650</xdr:colOff>
      <xdr:row>15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15779">
          <a:off x="9429750" y="3429000"/>
          <a:ext cx="1000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showGridLines="0" showRowColHeaders="0" zoomScale="109" zoomScaleNormal="109" workbookViewId="0" topLeftCell="A1">
      <selection activeCell="M4" sqref="M4"/>
    </sheetView>
  </sheetViews>
  <sheetFormatPr defaultColWidth="11.19921875" defaultRowHeight="15"/>
  <cols>
    <col min="1" max="1" width="4.3984375" style="1" customWidth="1"/>
    <col min="2" max="2" width="11.8984375" style="1" bestFit="1" customWidth="1"/>
    <col min="3" max="3" width="11" style="1" customWidth="1"/>
    <col min="4" max="4" width="14.5" style="1" bestFit="1" customWidth="1"/>
    <col min="5" max="5" width="2.09765625" style="1" customWidth="1"/>
    <col min="6" max="6" width="13.8984375" style="1" customWidth="1"/>
    <col min="7" max="8" width="11" style="1" customWidth="1"/>
    <col min="9" max="9" width="4.59765625" style="1" customWidth="1"/>
    <col min="10" max="10" width="11" style="1" customWidth="1"/>
    <col min="11" max="11" width="4.3984375" style="1" customWidth="1"/>
    <col min="12" max="12" width="11" style="1" customWidth="1"/>
    <col min="13" max="13" width="4.3984375" style="1" customWidth="1"/>
    <col min="14" max="16384" width="11" style="1" customWidth="1"/>
  </cols>
  <sheetData>
    <row r="1" ht="7.5" customHeight="1"/>
    <row r="2" spans="2:10" s="4" customFormat="1" ht="18.75">
      <c r="B2" s="5" t="s">
        <v>21</v>
      </c>
      <c r="D2" s="6" t="s">
        <v>22</v>
      </c>
      <c r="F2" s="2">
        <v>55.5635</v>
      </c>
      <c r="G2" s="7" t="s">
        <v>19</v>
      </c>
      <c r="H2" s="128">
        <v>38898</v>
      </c>
      <c r="I2" s="129"/>
      <c r="J2" s="130"/>
    </row>
    <row r="3" spans="2:10" s="4" customFormat="1" ht="7.5" customHeight="1">
      <c r="B3" s="5"/>
      <c r="D3" s="8"/>
      <c r="E3" s="9"/>
      <c r="F3" s="10"/>
      <c r="G3" s="11"/>
      <c r="H3" s="12"/>
      <c r="I3" s="12"/>
      <c r="J3" s="12"/>
    </row>
    <row r="4" spans="1:10" ht="18.75" customHeight="1">
      <c r="A4" s="13"/>
      <c r="B4" s="14" t="s">
        <v>6</v>
      </c>
      <c r="C4" s="3">
        <v>187.2</v>
      </c>
      <c r="D4" s="14" t="s">
        <v>5</v>
      </c>
      <c r="E4" s="13"/>
      <c r="F4" s="3">
        <v>234</v>
      </c>
      <c r="G4" s="15" t="s">
        <v>7</v>
      </c>
      <c r="H4" s="131">
        <v>38717</v>
      </c>
      <c r="I4" s="132"/>
      <c r="J4" s="133"/>
    </row>
    <row r="5" spans="3:10" ht="7.5" customHeight="1">
      <c r="C5" s="16"/>
      <c r="D5" s="17"/>
      <c r="E5" s="4"/>
      <c r="F5" s="18"/>
      <c r="G5" s="4"/>
      <c r="H5" s="19"/>
      <c r="I5" s="19"/>
      <c r="J5" s="19"/>
    </row>
    <row r="6" spans="7:9" ht="18.75">
      <c r="G6" s="19"/>
      <c r="H6" s="19"/>
      <c r="I6" s="19"/>
    </row>
    <row r="7" spans="4:10" ht="19.5">
      <c r="D7" s="14" t="s">
        <v>55</v>
      </c>
      <c r="E7" s="18"/>
      <c r="F7" s="127">
        <v>0.0812</v>
      </c>
      <c r="G7" s="4"/>
      <c r="H7" s="19"/>
      <c r="I7" s="19"/>
      <c r="J7" s="19"/>
    </row>
    <row r="8" spans="1:16" s="21" customFormat="1" ht="60" customHeight="1">
      <c r="A8" s="1"/>
      <c r="B8" s="1"/>
      <c r="C8" s="16"/>
      <c r="D8" s="17"/>
      <c r="E8" s="4"/>
      <c r="F8" s="18"/>
      <c r="G8" s="4"/>
      <c r="H8" s="19"/>
      <c r="I8" s="19"/>
      <c r="J8" s="19"/>
      <c r="K8" s="1"/>
      <c r="L8" s="1"/>
      <c r="M8" s="1"/>
      <c r="N8" s="1"/>
      <c r="O8" s="1"/>
      <c r="P8" s="1"/>
    </row>
    <row r="9" spans="2:4" ht="15.75">
      <c r="B9" s="20" t="s">
        <v>25</v>
      </c>
      <c r="D9" s="13"/>
    </row>
    <row r="10" spans="1:16" s="24" customFormat="1" ht="30" customHeight="1">
      <c r="A10" s="1"/>
      <c r="B10" s="1"/>
      <c r="C10" s="1"/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9.75" customHeight="1">
      <c r="A11" s="21"/>
      <c r="B11" s="134" t="s">
        <v>23</v>
      </c>
      <c r="C11" s="135"/>
      <c r="D11" s="135"/>
      <c r="E11" s="135"/>
      <c r="F11" s="135"/>
      <c r="G11" s="135"/>
      <c r="H11" s="136"/>
      <c r="I11" s="28"/>
      <c r="J11" s="140" t="s">
        <v>30</v>
      </c>
      <c r="K11" s="141"/>
      <c r="L11" s="142"/>
      <c r="M11" s="21"/>
      <c r="N11" s="21"/>
      <c r="O11" s="21"/>
      <c r="P11" s="21"/>
    </row>
    <row r="12" spans="1:16" s="26" customFormat="1" ht="15" customHeight="1">
      <c r="A12" s="1"/>
      <c r="B12" s="22"/>
      <c r="C12" s="22"/>
      <c r="D12" s="23"/>
      <c r="E12" s="23"/>
      <c r="F12" s="23"/>
      <c r="G12" s="23"/>
      <c r="H12" s="23"/>
      <c r="I12" s="23"/>
      <c r="J12" s="1"/>
      <c r="K12" s="1"/>
      <c r="L12" s="1"/>
      <c r="M12" s="1"/>
      <c r="N12" s="1"/>
      <c r="O12" s="1"/>
      <c r="P12" s="1"/>
    </row>
    <row r="13" spans="1:16" ht="39.75" customHeight="1">
      <c r="A13" s="24"/>
      <c r="B13" s="143" t="s">
        <v>8</v>
      </c>
      <c r="C13" s="144"/>
      <c r="D13" s="144"/>
      <c r="E13" s="144"/>
      <c r="F13" s="144"/>
      <c r="G13" s="144"/>
      <c r="H13" s="145"/>
      <c r="I13" s="28"/>
      <c r="J13" s="143" t="s">
        <v>30</v>
      </c>
      <c r="K13" s="144"/>
      <c r="L13" s="144"/>
      <c r="M13" s="24"/>
      <c r="N13" s="24"/>
      <c r="O13" s="24"/>
      <c r="P13" s="24"/>
    </row>
    <row r="14" spans="2:9" ht="15" customHeight="1" thickBot="1">
      <c r="B14" s="22"/>
      <c r="C14" s="25"/>
      <c r="D14" s="23"/>
      <c r="E14" s="23"/>
      <c r="F14" s="23"/>
      <c r="G14" s="23"/>
      <c r="H14" s="23"/>
      <c r="I14" s="23"/>
    </row>
    <row r="15" spans="1:16" ht="39.75" customHeight="1" thickBot="1">
      <c r="A15" s="26"/>
      <c r="B15" s="137" t="s">
        <v>24</v>
      </c>
      <c r="C15" s="138"/>
      <c r="D15" s="138"/>
      <c r="E15" s="138"/>
      <c r="F15" s="138"/>
      <c r="G15" s="138"/>
      <c r="H15" s="139"/>
      <c r="I15" s="42"/>
      <c r="J15" s="137" t="s">
        <v>30</v>
      </c>
      <c r="K15" s="138"/>
      <c r="L15" s="139"/>
      <c r="M15" s="26"/>
      <c r="N15" s="26"/>
      <c r="O15" s="26"/>
      <c r="P15" s="26"/>
    </row>
    <row r="16" ht="30" customHeight="1"/>
    <row r="17" ht="30" customHeight="1"/>
    <row r="20" ht="30">
      <c r="G20" s="29"/>
    </row>
    <row r="22" ht="30">
      <c r="D22" s="27"/>
    </row>
  </sheetData>
  <sheetProtection/>
  <mergeCells count="8">
    <mergeCell ref="H2:J2"/>
    <mergeCell ref="H4:J4"/>
    <mergeCell ref="B11:H11"/>
    <mergeCell ref="B15:H15"/>
    <mergeCell ref="J15:L15"/>
    <mergeCell ref="J11:L11"/>
    <mergeCell ref="B13:H13"/>
    <mergeCell ref="J13:L13"/>
  </mergeCells>
  <hyperlinks>
    <hyperlink ref="B11:H11" location="'Zone 1 _ 3_100 '!A1" display="Zone 1 : indemnité de résidence à 3%"/>
    <hyperlink ref="J11:L11" location="'Zone 1 _ mi_temps'!A1" display="si mi-temps"/>
    <hyperlink ref="J13:L13" location="'Zone 2 _ mi_temps'!A1" display="si mi-temps"/>
    <hyperlink ref="B13:H13" location="'Zone 2 _ 1_100'!A1" display="Zone 2 : indemnité de résidence à 1%"/>
    <hyperlink ref="J15:L15" location="'Zone 3 _ mi_temps'!A1" display="si mi-temps"/>
    <hyperlink ref="B15:H15" location="'Zone 3 _ 0_100'!A1" display="Zone 3 : indemnité de résidence à 0%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showGridLines="0" showRowColHeaders="0" zoomScale="85" zoomScaleNormal="85" zoomScaleSheetLayoutView="100" workbookViewId="0" topLeftCell="A4">
      <selection activeCell="C29" sqref="C29"/>
    </sheetView>
  </sheetViews>
  <sheetFormatPr defaultColWidth="11.19921875" defaultRowHeight="15"/>
  <cols>
    <col min="1" max="1" width="2.59765625" style="52" customWidth="1"/>
    <col min="2" max="2" width="8.09765625" style="52" customWidth="1"/>
    <col min="3" max="3" width="8.59765625" style="52" customWidth="1"/>
    <col min="4" max="4" width="12.59765625" style="52" customWidth="1"/>
    <col min="5" max="5" width="8.59765625" style="52" customWidth="1"/>
    <col min="6" max="7" width="12.59765625" style="52" customWidth="1"/>
    <col min="8" max="8" width="8.59765625" style="52" customWidth="1"/>
    <col min="9" max="10" width="12.59765625" style="52" customWidth="1"/>
    <col min="11" max="11" width="8.5" style="52" customWidth="1"/>
    <col min="12" max="12" width="8.8984375" style="52" customWidth="1"/>
    <col min="13" max="14" width="11" style="52" customWidth="1"/>
    <col min="15" max="15" width="11.09765625" style="52" customWidth="1"/>
    <col min="16" max="16384" width="11" style="52" customWidth="1"/>
  </cols>
  <sheetData>
    <row r="2" spans="2:10" ht="24" customHeight="1">
      <c r="B2" s="155" t="s">
        <v>33</v>
      </c>
      <c r="C2" s="155"/>
      <c r="D2" s="104"/>
      <c r="E2" s="104"/>
      <c r="F2" s="104"/>
      <c r="G2" s="104"/>
      <c r="H2" s="104"/>
      <c r="I2" s="104"/>
      <c r="J2" s="104"/>
    </row>
    <row r="3" ht="10.5" customHeight="1" thickBot="1">
      <c r="B3" s="53"/>
    </row>
    <row r="4" spans="2:11" s="54" customFormat="1" ht="36" customHeight="1" thickTop="1">
      <c r="B4" s="163" t="s">
        <v>48</v>
      </c>
      <c r="C4" s="164"/>
      <c r="D4" s="164"/>
      <c r="E4" s="164"/>
      <c r="F4" s="164"/>
      <c r="G4" s="164"/>
      <c r="H4" s="164"/>
      <c r="I4" s="164"/>
      <c r="J4" s="170" t="s">
        <v>19</v>
      </c>
      <c r="K4" s="171"/>
    </row>
    <row r="5" spans="2:11" s="54" customFormat="1" ht="36" customHeight="1" thickBot="1">
      <c r="B5" s="165"/>
      <c r="C5" s="166"/>
      <c r="D5" s="166"/>
      <c r="E5" s="166"/>
      <c r="F5" s="166"/>
      <c r="G5" s="166"/>
      <c r="H5" s="166"/>
      <c r="I5" s="166"/>
      <c r="J5" s="172">
        <f>Intro!H2</f>
        <v>38898</v>
      </c>
      <c r="K5" s="173"/>
    </row>
    <row r="6" spans="2:8" s="56" customFormat="1" ht="9.75" customHeight="1" thickTop="1">
      <c r="B6" s="55"/>
      <c r="C6" s="55"/>
      <c r="D6" s="55"/>
      <c r="E6" s="55"/>
      <c r="F6" s="55"/>
      <c r="G6" s="55"/>
      <c r="H6" s="55"/>
    </row>
    <row r="7" spans="2:12" s="58" customFormat="1" ht="18" customHeight="1">
      <c r="B7" s="57"/>
      <c r="D7" s="59" t="s">
        <v>4</v>
      </c>
      <c r="E7" s="156">
        <f>Intro!F2</f>
        <v>55.5635</v>
      </c>
      <c r="F7" s="157"/>
      <c r="G7" s="60"/>
      <c r="H7" s="169" t="s">
        <v>32</v>
      </c>
      <c r="I7" s="169"/>
      <c r="J7" s="169"/>
      <c r="K7" s="169"/>
      <c r="L7" s="105"/>
    </row>
    <row r="8" spans="2:11" s="58" customFormat="1" ht="18" customHeight="1">
      <c r="B8" s="57"/>
      <c r="D8" s="59" t="s">
        <v>2</v>
      </c>
      <c r="E8" s="158">
        <f>ROUNDDOWN(E7/12,2)</f>
        <v>4.63</v>
      </c>
      <c r="F8" s="158"/>
      <c r="G8" s="60"/>
      <c r="H8" s="169"/>
      <c r="I8" s="169"/>
      <c r="J8" s="169"/>
      <c r="K8" s="169"/>
    </row>
    <row r="9" spans="2:12" s="58" customFormat="1" ht="18" customHeight="1">
      <c r="B9" s="57"/>
      <c r="D9" s="59" t="s">
        <v>3</v>
      </c>
      <c r="E9" s="158">
        <f>ROUNDDOWN($E$7/12,2)+ROUNDDOWN($E$7/12,2)*0.03-ROUNDDOWN($E$7/12,2)*Intro!F7-(ROUNDDOWN($E$7/12,2)+ROUNDDOWN($E$7/12,2)*0.03)*0.97*0.075-(ROUNDDOWN($E$7/12,2)+ROUNDDOWN($E$7/12,2)*0.03)*0.97*0.005-(ROUNDDOWN($E$7/12,2)+ROUNDDOWN($E$7/12,2)*0.03-ROUNDDOWN($E$7/12,2)*Intro!$F$7-ROUNDDOWN($E$7/12,2)*0.03*0.05)*0.01</f>
        <v>3.9790173699999998</v>
      </c>
      <c r="F9" s="158"/>
      <c r="G9" s="60"/>
      <c r="H9" s="169"/>
      <c r="I9" s="169"/>
      <c r="J9" s="169"/>
      <c r="K9" s="169"/>
      <c r="L9" s="105"/>
    </row>
    <row r="10" spans="2:8" s="58" customFormat="1" ht="18" customHeight="1">
      <c r="B10" s="57"/>
      <c r="D10" s="107" t="s">
        <v>20</v>
      </c>
      <c r="E10" s="106"/>
      <c r="F10" s="106"/>
      <c r="G10" s="60"/>
      <c r="H10" s="109"/>
    </row>
    <row r="11" s="58" customFormat="1" ht="22.5" customHeight="1" thickBot="1">
      <c r="J11" s="61" t="s">
        <v>39</v>
      </c>
    </row>
    <row r="12" spans="2:10" s="63" customFormat="1" ht="19.5" customHeight="1" thickBot="1" thickTop="1">
      <c r="B12" s="62"/>
      <c r="C12" s="177" t="s">
        <v>12</v>
      </c>
      <c r="D12" s="178"/>
      <c r="E12" s="178"/>
      <c r="F12" s="178"/>
      <c r="G12" s="178"/>
      <c r="H12" s="178"/>
      <c r="I12" s="178"/>
      <c r="J12" s="179"/>
    </row>
    <row r="13" spans="2:10" s="63" customFormat="1" ht="19.5" customHeight="1" thickBot="1" thickTop="1">
      <c r="B13" s="62"/>
      <c r="C13" s="160" t="s">
        <v>26</v>
      </c>
      <c r="D13" s="161"/>
      <c r="E13" s="160" t="s">
        <v>0</v>
      </c>
      <c r="F13" s="161"/>
      <c r="G13" s="161"/>
      <c r="H13" s="160" t="s">
        <v>1</v>
      </c>
      <c r="I13" s="161"/>
      <c r="J13" s="162"/>
    </row>
    <row r="14" spans="2:10" s="64" customFormat="1" ht="19.5" customHeight="1" thickTop="1">
      <c r="B14" s="148" t="s">
        <v>13</v>
      </c>
      <c r="C14" s="152" t="s">
        <v>14</v>
      </c>
      <c r="D14" s="167" t="s">
        <v>15</v>
      </c>
      <c r="E14" s="152" t="s">
        <v>14</v>
      </c>
      <c r="F14" s="180" t="s">
        <v>15</v>
      </c>
      <c r="G14" s="150"/>
      <c r="H14" s="154" t="s">
        <v>14</v>
      </c>
      <c r="I14" s="180" t="s">
        <v>15</v>
      </c>
      <c r="J14" s="150"/>
    </row>
    <row r="15" spans="2:10" s="64" customFormat="1" ht="43.5" thickBot="1">
      <c r="B15" s="149"/>
      <c r="C15" s="153"/>
      <c r="D15" s="168"/>
      <c r="E15" s="159"/>
      <c r="F15" s="65" t="s">
        <v>27</v>
      </c>
      <c r="G15" s="65" t="s">
        <v>41</v>
      </c>
      <c r="H15" s="126"/>
      <c r="I15" s="65" t="s">
        <v>27</v>
      </c>
      <c r="J15" s="65" t="s">
        <v>41</v>
      </c>
    </row>
    <row r="16" spans="2:10" ht="19.5" customHeight="1" thickTop="1">
      <c r="B16" s="67">
        <v>1</v>
      </c>
      <c r="C16" s="68">
        <f>Indices!C5</f>
        <v>341</v>
      </c>
      <c r="D16" s="71">
        <f>ROUNDDOWN($E$7*C16/12,2)+ROUNDDOWN($E$7*C16/12,2)*0.03-ROUNDDOWN($E$7*C16/12,2)*Intro!$F$7-(ROUNDDOWN($E$7*C16/12,2)+ROUNDDOWN($E$7*C16/12,2)*0.03)*0.97*0.075-(ROUNDDOWN($E$7*C16/12,2)+ROUNDDOWN($E$7*C16/12,2)*0.03)*0.97*0.005-(ROUNDDOWN($E$7*C16/12,2)+ROUNDDOWN($E$7*C16/12,2)*0.03-ROUNDDOWN($E$7*C16/12,2)*Intro!$F$7-ROUND($E$7*C16/12*0.03*0.05,2))*0.01-ROUND((($E$7*C16/12)*0.03)*0.05,2)</f>
        <v>1354.5522852800002</v>
      </c>
      <c r="E16" s="70">
        <f>C16</f>
        <v>341</v>
      </c>
      <c r="F16" s="71">
        <f>ROUNDDOWN($E$7*E16/12,2)+ROUNDDOWN($E$7*E16/12,2)*0.03-ROUNDDOWN($E$7*E16/12,2)*Intro!$F$7-(ROUNDDOWN($E$7*E16/12,2)+ROUNDDOWN($E$7*E16/12,2)*0.03+ROUNDDOWN($F$28,2))*0.97*0.075-(ROUNDDOWN($E$7*E16/12,2)+ROUNDDOWN($E$7*E16/12,2)*0.03+ROUNDDOWN($F$28,2))*0.97*0.005-(ROUNDDOWN($E$7*E16/12,2)+ROUNDDOWN($E$7*E16/12,2)*0.03-ROUNDDOWN($E$7*E16/12,2)*Intro!$F$7-ROUND((($E$7*E16/12)*0.03+$F$28)*0.05,2))*0.01-ROUND((($E$7*E16/12)*0.03+$F$28)*0.05,2)</f>
        <v>1330.7591652800002</v>
      </c>
      <c r="G16" s="71">
        <f aca="true" t="shared" si="0" ref="G16:G26">F16+$F$28</f>
        <v>1517.9591652800002</v>
      </c>
      <c r="H16" s="70">
        <f>C16</f>
        <v>341</v>
      </c>
      <c r="I16" s="71">
        <f>ROUNDDOWN($E$7*H16/12,2)+ROUNDDOWN($E$7*H16/12,2)*0.03-ROUNDDOWN($E$7*H16/12,2)*Intro!$F$7-(ROUNDDOWN($E$7*H16/12,2)+ROUNDDOWN($E$7*H16/12,2)*0.03+ROUNDDOWN($I$28,2))*0.97*0.075-(ROUNDDOWN($E$7*H16/12,2)+ROUNDDOWN($E$7*H16/12,2)*0.03+ROUNDDOWN($I$28,2))*0.97*0.005-(ROUNDDOWN($E$7*H16/12,2)+ROUNDDOWN($E$7*H16/12,2)*0.03-ROUNDDOWN($E$7*H16/12,2)*Intro!$F$7-ROUND((($E$7*H16/12)*0.03+$I$28)*0.05,2))*0.01-ROUND((($E$7*H16/12)*0.03+$I$28)*0.05,2)</f>
        <v>1324.81088528</v>
      </c>
      <c r="J16" s="71">
        <f aca="true" t="shared" si="1" ref="J16:J26">I16+$I$28</f>
        <v>1558.81088528</v>
      </c>
    </row>
    <row r="17" spans="2:10" ht="19.5" customHeight="1">
      <c r="B17" s="73">
        <v>2</v>
      </c>
      <c r="C17" s="74">
        <f>Indices!C6</f>
        <v>357</v>
      </c>
      <c r="D17" s="76">
        <f>ROUNDDOWN($E$7*C17/12,2)+ROUNDDOWN($E$7*C17/12,2)*0.03-ROUNDDOWN($E$7*C17/12,2)*Intro!$F$7-(ROUNDDOWN($E$7*C17/12,2)+ROUNDDOWN($E$7*C17/12,2)*0.03)*0.97*0.075-(ROUNDDOWN($E$7*C17/12,2)+ROUNDDOWN($E$7*C17/12,2)*0.03)*0.97*0.005-(ROUNDDOWN($E$7*C17/12,2)+ROUNDDOWN($E$7*C17/12,2)*0.03-ROUNDDOWN($E$7*C17/12,2)*Intro!$F$7-ROUND($E$7*C17/12*0.03*0.05,2))*0.01-ROUND((($E$7*C17/12)*0.03)*0.05,2)</f>
        <v>1418.11514584</v>
      </c>
      <c r="E17" s="74">
        <f aca="true" t="shared" si="2" ref="E17:E26">C17</f>
        <v>357</v>
      </c>
      <c r="F17" s="76">
        <f>ROUNDDOWN($E$7*E17/12,2)+ROUNDDOWN($E$7*E17/12,2)*0.03-ROUNDDOWN($E$7*E17/12,2)*Intro!$F$7-(ROUNDDOWN($E$7*E17/12,2)+ROUNDDOWN($E$7*E17/12,2)*0.03+ROUNDDOWN($F$28,2))*0.97*0.075-(ROUNDDOWN($E$7*E17/12,2)+ROUNDDOWN($E$7*E17/12,2)*0.03+ROUNDDOWN($F$28,2))*0.97*0.005-(ROUNDDOWN($E$7*E17/12,2)+ROUNDDOWN($E$7*E17/12,2)*0.03-ROUNDDOWN($E$7*E17/12,2)*Intro!$F$7-ROUND((($E$7*E17/12)*0.03+$F$28)*0.05,2))*0.01-ROUND((($E$7*E17/12)*0.03+$F$28)*0.05,2)</f>
        <v>1394.32202584</v>
      </c>
      <c r="G17" s="76">
        <f t="shared" si="0"/>
        <v>1581.52202584</v>
      </c>
      <c r="H17" s="74">
        <f aca="true" t="shared" si="3" ref="H17:H26">C17</f>
        <v>357</v>
      </c>
      <c r="I17" s="76">
        <f>ROUNDDOWN($E$7*H17/12,2)+ROUNDDOWN($E$7*H17/12,2)*0.03-ROUNDDOWN($E$7*H17/12,2)*Intro!$F$7-(ROUNDDOWN($E$7*H17/12,2)+ROUNDDOWN($E$7*H17/12,2)*0.03+ROUNDDOWN($I$28,2))*0.97*0.075-(ROUNDDOWN($E$7*H17/12,2)+ROUNDDOWN($E$7*H17/12,2)*0.03+ROUNDDOWN($I$28,2))*0.97*0.005-(ROUNDDOWN($E$7*H17/12,2)+ROUNDDOWN($E$7*H17/12,2)*0.03-ROUNDDOWN($E$7*H17/12,2)*Intro!$F$7-ROUND((($E$7*H17/12)*0.03+$I$28)*0.05,2))*0.01-ROUND((($E$7*H17/12)*0.03+$I$28)*0.05,2)</f>
        <v>1388.37374584</v>
      </c>
      <c r="J17" s="76">
        <f t="shared" si="1"/>
        <v>1622.37374584</v>
      </c>
    </row>
    <row r="18" spans="2:10" ht="19.5" customHeight="1">
      <c r="B18" s="73">
        <v>3</v>
      </c>
      <c r="C18" s="74">
        <f>Indices!C7</f>
        <v>366</v>
      </c>
      <c r="D18" s="76">
        <f>ROUNDDOWN($E$7*C18/12,2)+ROUNDDOWN($E$7*C18/12,2)*0.03-ROUNDDOWN($E$7*C18/12,2)*Intro!$F$7-(ROUNDDOWN($E$7*C18/12,2)+ROUNDDOWN($E$7*C18/12,2)*0.03)*0.97*0.075-(ROUNDDOWN($E$7*C18/12,2)+ROUNDDOWN($E$7*C18/12,2)*0.03)*0.97*0.005-(ROUNDDOWN($E$7*C18/12,2)+ROUNDDOWN($E$7*C18/12,2)*0.03-ROUNDDOWN($E$7*C18/12,2)*Intro!$F$7-ROUND($E$7*C18/12*0.03*0.05,2))*0.01-ROUND((($E$7*C18/12)*0.03)*0.05,2)</f>
        <v>1453.8662771200004</v>
      </c>
      <c r="E18" s="74">
        <f t="shared" si="2"/>
        <v>366</v>
      </c>
      <c r="F18" s="76">
        <f>ROUNDDOWN($E$7*E18/12,2)+ROUNDDOWN($E$7*E18/12,2)*0.03-ROUNDDOWN($E$7*E18/12,2)*Intro!$F$7-(ROUNDDOWN($E$7*E18/12,2)+ROUNDDOWN($E$7*E18/12,2)*0.03+ROUNDDOWN($F$28,2))*0.97*0.075-(ROUNDDOWN($E$7*E18/12,2)+ROUNDDOWN($E$7*E18/12,2)*0.03+ROUNDDOWN($F$28,2))*0.97*0.005-(ROUNDDOWN($E$7*E18/12,2)+ROUNDDOWN($E$7*E18/12,2)*0.03-ROUNDDOWN($E$7*E18/12,2)*Intro!$F$7-ROUND((($E$7*E18/12)*0.03+$F$28)*0.05,2))*0.01-ROUND((($E$7*E18/12)*0.03+$F$28)*0.05,2)</f>
        <v>1430.07315712</v>
      </c>
      <c r="G18" s="76">
        <f t="shared" si="0"/>
        <v>1617.27315712</v>
      </c>
      <c r="H18" s="74">
        <f t="shared" si="3"/>
        <v>366</v>
      </c>
      <c r="I18" s="76">
        <f>ROUNDDOWN($E$7*H18/12,2)+ROUNDDOWN($E$7*H18/12,2)*0.03-ROUNDDOWN($E$7*H18/12,2)*Intro!$F$7-(ROUNDDOWN($E$7*H18/12,2)+ROUNDDOWN($E$7*H18/12,2)*0.03+ROUNDDOWN($I$28,2))*0.97*0.075-(ROUNDDOWN($E$7*H18/12,2)+ROUNDDOWN($E$7*H18/12,2)*0.03+ROUNDDOWN($I$28,2))*0.97*0.005-(ROUNDDOWN($E$7*H18/12,2)+ROUNDDOWN($E$7*H18/12,2)*0.03-ROUNDDOWN($E$7*H18/12,2)*Intro!$F$7-ROUND((($E$7*H18/12)*0.03+$I$28)*0.05,2))*0.01-ROUND((($E$7*H18/12)*0.03+$I$28)*0.05,2)</f>
        <v>1424.1248771200003</v>
      </c>
      <c r="J18" s="76">
        <f t="shared" si="1"/>
        <v>1658.1248771200003</v>
      </c>
    </row>
    <row r="19" spans="2:10" ht="19.5" customHeight="1">
      <c r="B19" s="73">
        <v>4</v>
      </c>
      <c r="C19" s="74">
        <f>Indices!C8</f>
        <v>373</v>
      </c>
      <c r="D19" s="76">
        <f>ROUNDDOWN($E$7*C19/12,2)+ROUNDDOWN($E$7*C19/12,2)*0.03-ROUNDDOWN($E$7*C19/12,2)*Intro!$F$7-(ROUNDDOWN($E$7*C19/12,2)+ROUNDDOWN($E$7*C19/12,2)*0.03)*0.97*0.075-(ROUNDDOWN($E$7*C19/12,2)+ROUNDDOWN($E$7*C19/12,2)*0.03)*0.97*0.005-(ROUNDDOWN($E$7*C19/12,2)+ROUNDDOWN($E$7*C19/12,2)*0.03-ROUNDDOWN($E$7*C19/12,2)*Intro!$F$7-ROUND($E$7*C19/12*0.03*0.05,2))*0.01-ROUND((($E$7*C19/12)*0.03)*0.05,2)</f>
        <v>1481.66941256</v>
      </c>
      <c r="E19" s="74">
        <f t="shared" si="2"/>
        <v>373</v>
      </c>
      <c r="F19" s="76">
        <f>ROUNDDOWN($E$7*E19/12,2)+ROUNDDOWN($E$7*E19/12,2)*0.03-ROUNDDOWN($E$7*E19/12,2)*Intro!$F$7-(ROUNDDOWN($E$7*E19/12,2)+ROUNDDOWN($E$7*E19/12,2)*0.03+ROUNDDOWN($F$28,2))*0.97*0.075-(ROUNDDOWN($E$7*E19/12,2)+ROUNDDOWN($E$7*E19/12,2)*0.03+ROUNDDOWN($F$28,2))*0.97*0.005-(ROUNDDOWN($E$7*E19/12,2)+ROUNDDOWN($E$7*E19/12,2)*0.03-ROUNDDOWN($E$7*E19/12,2)*Intro!$F$7-ROUND((($E$7*E19/12)*0.03+$F$28)*0.05,2))*0.01-ROUND((($E$7*E19/12)*0.03+$F$28)*0.05,2)</f>
        <v>1457.87629256</v>
      </c>
      <c r="G19" s="76">
        <f t="shared" si="0"/>
        <v>1645.07629256</v>
      </c>
      <c r="H19" s="74">
        <f t="shared" si="3"/>
        <v>373</v>
      </c>
      <c r="I19" s="76">
        <f>ROUNDDOWN($E$7*H19/12,2)+ROUNDDOWN($E$7*H19/12,2)*0.03-ROUNDDOWN($E$7*H19/12,2)*Intro!$F$7-(ROUNDDOWN($E$7*H19/12,2)+ROUNDDOWN($E$7*H19/12,2)*0.03+ROUNDDOWN($I$28,2))*0.97*0.075-(ROUNDDOWN($E$7*H19/12,2)+ROUNDDOWN($E$7*H19/12,2)*0.03+ROUNDDOWN($I$28,2))*0.97*0.005-(ROUNDDOWN($E$7*H19/12,2)+ROUNDDOWN($E$7*H19/12,2)*0.03-ROUNDDOWN($E$7*H19/12,2)*Intro!$F$7-ROUND((($E$7*H19/12)*0.03+$I$28)*0.05,2))*0.01-ROUND((($E$7*H19/12)*0.03+$I$28)*0.05,2)</f>
        <v>1451.9280125599998</v>
      </c>
      <c r="J19" s="76">
        <f t="shared" si="1"/>
        <v>1685.9280125599998</v>
      </c>
    </row>
    <row r="20" spans="2:10" ht="19.5" customHeight="1">
      <c r="B20" s="73">
        <v>5</v>
      </c>
      <c r="C20" s="74">
        <f>Indices!C9</f>
        <v>383</v>
      </c>
      <c r="D20" s="76">
        <f>ROUNDDOWN($E$7*C20/12,2)+ROUNDDOWN($E$7*C20/12,2)*0.03-ROUNDDOWN($E$7*C20/12,2)*Intro!$F$7-(ROUNDDOWN($E$7*C20/12,2)+ROUNDDOWN($E$7*C20/12,2)*0.03)*0.97*0.075-(ROUNDDOWN($E$7*C20/12,2)+ROUNDDOWN($E$7*C20/12,2)*0.03)*0.97*0.005-(ROUNDDOWN($E$7*C20/12,2)+ROUNDDOWN($E$7*C20/12,2)*0.03-ROUNDDOWN($E$7*C20/12,2)*Intro!$F$7-ROUND($E$7*C20/12*0.03*0.05,2))*0.01-ROUND((($E$7*C20/12)*0.03)*0.05,2)</f>
        <v>1521.3981855999998</v>
      </c>
      <c r="E20" s="74">
        <f t="shared" si="2"/>
        <v>383</v>
      </c>
      <c r="F20" s="76">
        <f>ROUNDDOWN($E$7*E20/12,2)+ROUNDDOWN($E$7*E20/12,2)*0.03-ROUNDDOWN($E$7*E20/12,2)*Intro!$F$7-(ROUNDDOWN($E$7*E20/12,2)+ROUNDDOWN($E$7*E20/12,2)*0.03+ROUNDDOWN($F$28,2))*0.97*0.075-(ROUNDDOWN($E$7*E20/12,2)+ROUNDDOWN($E$7*E20/12,2)*0.03+ROUNDDOWN($F$28,2))*0.97*0.005-(ROUNDDOWN($E$7*E20/12,2)+ROUNDDOWN($E$7*E20/12,2)*0.03-ROUNDDOWN($E$7*E20/12,2)*Intro!$F$7-ROUND((($E$7*E20/12)*0.03+$F$28)*0.05,2))*0.01-ROUND((($E$7*E20/12)*0.03+$F$28)*0.05,2)</f>
        <v>1497.6050656000002</v>
      </c>
      <c r="G20" s="76">
        <f t="shared" si="0"/>
        <v>1684.8050656000003</v>
      </c>
      <c r="H20" s="74">
        <f t="shared" si="3"/>
        <v>383</v>
      </c>
      <c r="I20" s="76">
        <f>ROUNDDOWN($E$7*H20/12,2)+ROUNDDOWN($E$7*H20/12,2)*0.03-ROUNDDOWN($E$7*H20/12,2)*Intro!$F$7-(ROUNDDOWN($E$7*H20/12,2)+ROUNDDOWN($E$7*H20/12,2)*0.03+ROUNDDOWN($I$28,2))*0.97*0.075-(ROUNDDOWN($E$7*H20/12,2)+ROUNDDOWN($E$7*H20/12,2)*0.03+ROUNDDOWN($I$28,2))*0.97*0.005-(ROUNDDOWN($E$7*H20/12,2)+ROUNDDOWN($E$7*H20/12,2)*0.03-ROUNDDOWN($E$7*H20/12,2)*Intro!$F$7-ROUND((($E$7*H20/12)*0.03+$I$28)*0.05,2))*0.01-ROUND((($E$7*H20/12)*0.03+$I$28)*0.05,2)</f>
        <v>1491.6567856000001</v>
      </c>
      <c r="J20" s="76">
        <f t="shared" si="1"/>
        <v>1725.6567856000001</v>
      </c>
    </row>
    <row r="21" spans="2:10" ht="19.5" customHeight="1">
      <c r="B21" s="73">
        <v>6</v>
      </c>
      <c r="C21" s="74">
        <f>Indices!C10</f>
        <v>390</v>
      </c>
      <c r="D21" s="76">
        <f>ROUNDDOWN($E$7*C21/12,2)+ROUNDDOWN($E$7*C21/12,2)*0.03-ROUNDDOWN($E$7*C21/12,2)*Intro!$F$7-(ROUNDDOWN($E$7*C21/12,2)+ROUNDDOWN($E$7*C21/12,2)*0.03)*0.97*0.075-(ROUNDDOWN($E$7*C21/12,2)+ROUNDDOWN($E$7*C21/12,2)*0.03)*0.97*0.005-(ROUNDDOWN($E$7*C21/12,2)+ROUNDDOWN($E$7*C21/12,2)*0.03-ROUNDDOWN($E$7*C21/12,2)*Intro!$F$7-ROUND($E$7*C21/12*0.03*0.05,2))*0.01-ROUND((($E$7*C21/12)*0.03)*0.05,2)</f>
        <v>1549.2013210399998</v>
      </c>
      <c r="E21" s="74">
        <f t="shared" si="2"/>
        <v>390</v>
      </c>
      <c r="F21" s="76">
        <f>ROUNDDOWN($E$7*E21/12,2)+ROUNDDOWN($E$7*E21/12,2)*0.03-ROUNDDOWN($E$7*E21/12,2)*Intro!$F$7-(ROUNDDOWN($E$7*E21/12,2)+ROUNDDOWN($E$7*E21/12,2)*0.03+ROUNDDOWN($F$28,2))*0.97*0.075-(ROUNDDOWN($E$7*E21/12,2)+ROUNDDOWN($E$7*E21/12,2)*0.03+ROUNDDOWN($F$28,2))*0.97*0.005-(ROUNDDOWN($E$7*E21/12,2)+ROUNDDOWN($E$7*E21/12,2)*0.03-ROUNDDOWN($E$7*E21/12,2)*Intro!$F$7-ROUND((($E$7*E21/12)*0.03+$F$28)*0.05,2))*0.01-ROUND((($E$7*E21/12)*0.03+$F$28)*0.05,2)</f>
        <v>1525.40820104</v>
      </c>
      <c r="G21" s="76">
        <f t="shared" si="0"/>
        <v>1712.60820104</v>
      </c>
      <c r="H21" s="74">
        <f t="shared" si="3"/>
        <v>390</v>
      </c>
      <c r="I21" s="76">
        <f>ROUNDDOWN($E$7*H21/12,2)+ROUNDDOWN($E$7*H21/12,2)*0.03-ROUNDDOWN($E$7*H21/12,2)*Intro!$F$7-(ROUNDDOWN($E$7*H21/12,2)+ROUNDDOWN($E$7*H21/12,2)*0.03+ROUNDDOWN($I$28,2))*0.97*0.075-(ROUNDDOWN($E$7*H21/12,2)+ROUNDDOWN($E$7*H21/12,2)*0.03+ROUNDDOWN($I$28,2))*0.97*0.005-(ROUNDDOWN($E$7*H21/12,2)+ROUNDDOWN($E$7*H21/12,2)*0.03-ROUNDDOWN($E$7*H21/12,2)*Intro!$F$7-ROUND((($E$7*H21/12)*0.03+$I$28)*0.05,2))*0.01-ROUND((($E$7*H21/12)*0.03+$I$28)*0.05,2)</f>
        <v>1519.4599210399997</v>
      </c>
      <c r="J21" s="76">
        <f t="shared" si="1"/>
        <v>1753.4599210399997</v>
      </c>
    </row>
    <row r="22" spans="2:10" ht="19.5" customHeight="1">
      <c r="B22" s="73">
        <v>7</v>
      </c>
      <c r="C22" s="74">
        <f>Indices!C11</f>
        <v>399</v>
      </c>
      <c r="D22" s="76">
        <f>ROUNDDOWN($E$7*C22/12,2)+ROUNDDOWN($E$7*C22/12,2)*0.03-ROUNDDOWN($E$7*C22/12,2)*Intro!$F$7-(ROUNDDOWN($E$7*C22/12,2)+ROUNDDOWN($E$7*C22/12,2)*0.03)*0.97*0.075-(ROUNDDOWN($E$7*C22/12,2)+ROUNDDOWN($E$7*C22/12,2)*0.03)*0.97*0.005-(ROUNDDOWN($E$7*C22/12,2)+ROUNDDOWN($E$7*C22/12,2)*0.03-ROUNDDOWN($E$7*C22/12,2)*Intro!$F$7-ROUND($E$7*C22/12*0.03*0.05,2))*0.01-ROUND((($E$7*C22/12)*0.03)*0.05,2)</f>
        <v>1584.95245232</v>
      </c>
      <c r="E22" s="74">
        <f t="shared" si="2"/>
        <v>399</v>
      </c>
      <c r="F22" s="76">
        <f>ROUNDDOWN($E$7*E22/12,2)+ROUNDDOWN($E$7*E22/12,2)*0.03-ROUNDDOWN($E$7*E22/12,2)*Intro!$F$7-(ROUNDDOWN($E$7*E22/12,2)+ROUNDDOWN($E$7*E22/12,2)*0.03+ROUNDDOWN($F$28,2))*0.97*0.075-(ROUNDDOWN($E$7*E22/12,2)+ROUNDDOWN($E$7*E22/12,2)*0.03+ROUNDDOWN($F$28,2))*0.97*0.005-(ROUNDDOWN($E$7*E22/12,2)+ROUNDDOWN($E$7*E22/12,2)*0.03-ROUNDDOWN($E$7*E22/12,2)*Intro!$F$7-ROUND((($E$7*E22/12)*0.03+$F$28)*0.05,2))*0.01-ROUND((($E$7*E22/12)*0.03+$F$28)*0.05,2)</f>
        <v>1561.15933232</v>
      </c>
      <c r="G22" s="76">
        <f t="shared" si="0"/>
        <v>1748.35933232</v>
      </c>
      <c r="H22" s="74">
        <f t="shared" si="3"/>
        <v>399</v>
      </c>
      <c r="I22" s="76">
        <f>ROUNDDOWN($E$7*H22/12,2)+ROUNDDOWN($E$7*H22/12,2)*0.03-ROUNDDOWN($E$7*H22/12,2)*Intro!$F$7-(ROUNDDOWN($E$7*H22/12,2)+ROUNDDOWN($E$7*H22/12,2)*0.03+ROUNDDOWN($I$28,2))*0.97*0.075-(ROUNDDOWN($E$7*H22/12,2)+ROUNDDOWN($E$7*H22/12,2)*0.03+ROUNDDOWN($I$28,2))*0.97*0.005-(ROUNDDOWN($E$7*H22/12,2)+ROUNDDOWN($E$7*H22/12,2)*0.03-ROUNDDOWN($E$7*H22/12,2)*Intro!$F$7-ROUND((($E$7*H22/12)*0.03+$I$28)*0.05,2))*0.01-ROUND((($E$7*H22/12)*0.03+$I$28)*0.05,2)</f>
        <v>1555.21105232</v>
      </c>
      <c r="J22" s="76">
        <f t="shared" si="1"/>
        <v>1789.21105232</v>
      </c>
    </row>
    <row r="23" spans="2:10" ht="19.5" customHeight="1">
      <c r="B23" s="73">
        <v>8</v>
      </c>
      <c r="C23" s="74">
        <f>Indices!C12</f>
        <v>420</v>
      </c>
      <c r="D23" s="76">
        <f>ROUNDDOWN($E$7*C23/12,2)+ROUNDDOWN($E$7*C23/12,2)*0.03-ROUNDDOWN($E$7*C23/12,2)*Intro!$F$7-(ROUNDDOWN($E$7*C23/12,2)+ROUNDDOWN($E$7*C23/12,2)*0.03)*0.97*0.075-(ROUNDDOWN($E$7*C23/12,2)+ROUNDDOWN($E$7*C23/12,2)*0.03)*0.97*0.005-(ROUNDDOWN($E$7*C23/12,2)+ROUNDDOWN($E$7*C23/12,2)*0.03-ROUNDDOWN($E$7*C23/12,2)*Intro!$F$7-ROUND($E$7*C23/12*0.03*0.05,2))*0.01-ROUND((($E$7*C23/12)*0.03)*0.05,2)</f>
        <v>1668.37045248</v>
      </c>
      <c r="E23" s="74">
        <f t="shared" si="2"/>
        <v>420</v>
      </c>
      <c r="F23" s="76">
        <f>ROUNDDOWN($E$7*E23/12,2)+ROUNDDOWN($E$7*E23/12,2)*0.03-ROUNDDOWN($E$7*E23/12,2)*Intro!$F$7-(ROUNDDOWN($E$7*E23/12,2)+ROUNDDOWN($E$7*E23/12,2)*0.03+ROUNDDOWN($F$28,2))*0.97*0.075-(ROUNDDOWN($E$7*E23/12,2)+ROUNDDOWN($E$7*E23/12,2)*0.03+ROUNDDOWN($F$28,2))*0.97*0.005-(ROUNDDOWN($E$7*E23/12,2)+ROUNDDOWN($E$7*E23/12,2)*0.03-ROUNDDOWN($E$7*E23/12,2)*Intro!$F$7-ROUND((($E$7*E23/12)*0.03+$F$28)*0.05,2))*0.01-ROUND((($E$7*E23/12)*0.03+$F$28)*0.05,2)</f>
        <v>1644.57733248</v>
      </c>
      <c r="G23" s="76">
        <f t="shared" si="0"/>
        <v>1831.77733248</v>
      </c>
      <c r="H23" s="74">
        <f t="shared" si="3"/>
        <v>420</v>
      </c>
      <c r="I23" s="76">
        <f>ROUNDDOWN($E$7*H23/12,2)+ROUNDDOWN($E$7*H23/12,2)*0.03-ROUNDDOWN($E$7*H23/12,2)*Intro!$F$7-(ROUNDDOWN($E$7*H23/12,2)+ROUNDDOWN($E$7*H23/12,2)*0.03+ROUNDDOWN($I$28,2))*0.97*0.075-(ROUNDDOWN($E$7*H23/12,2)+ROUNDDOWN($E$7*H23/12,2)*0.03+ROUNDDOWN($I$28,2))*0.97*0.005-(ROUNDDOWN($E$7*H23/12,2)+ROUNDDOWN($E$7*H23/12,2)*0.03-ROUNDDOWN($E$7*H23/12,2)*Intro!$F$7-ROUND((($E$7*H23/12)*0.03+$I$28)*0.05,2))*0.01-ROUND((($E$7*H23/12)*0.03+$I$28)*0.05,2)</f>
        <v>1638.6290524800002</v>
      </c>
      <c r="J23" s="76">
        <f t="shared" si="1"/>
        <v>1872.6290524800002</v>
      </c>
    </row>
    <row r="24" spans="2:10" ht="19.5" customHeight="1">
      <c r="B24" s="73">
        <v>9</v>
      </c>
      <c r="C24" s="74">
        <f>Indices!C13</f>
        <v>441</v>
      </c>
      <c r="D24" s="76">
        <f>ROUNDDOWN($E$7*C24/12,2)+ROUNDDOWN($E$7*C24/12,2)*0.03-ROUNDDOWN($E$7*C24/12,2)*Intro!$F$7-(ROUNDDOWN($E$7*C24/12,2)+ROUNDDOWN($E$7*C24/12,2)*0.03)*0.97*0.075-(ROUNDDOWN($E$7*C24/12,2)+ROUNDDOWN($E$7*C24/12,2)*0.03)*0.97*0.005-(ROUNDDOWN($E$7*C24/12,2)+ROUNDDOWN($E$7*C24/12,2)*0.03-ROUNDDOWN($E$7*C24/12,2)*Intro!$F$7-ROUND($E$7*C24/12*0.03*0.05,2))*0.01-ROUND((($E$7*C24/12)*0.03)*0.05,2)</f>
        <v>1751.7897588</v>
      </c>
      <c r="E24" s="74">
        <f t="shared" si="2"/>
        <v>441</v>
      </c>
      <c r="F24" s="76">
        <f>ROUNDDOWN($E$7*E24/12,2)+ROUNDDOWN($E$7*E24/12,2)*0.03-ROUNDDOWN($E$7*E24/12,2)*Intro!$F$7-(ROUNDDOWN($E$7*E24/12,2)+ROUNDDOWN($E$7*E24/12,2)*0.03+ROUNDDOWN($F$28,2))*0.97*0.075-(ROUNDDOWN($E$7*E24/12,2)+ROUNDDOWN($E$7*E24/12,2)*0.03+ROUNDDOWN($F$28,2))*0.97*0.005-(ROUNDDOWN($E$7*E24/12,2)+ROUNDDOWN($E$7*E24/12,2)*0.03-ROUNDDOWN($E$7*E24/12,2)*Intro!$F$7-ROUND((($E$7*E24/12)*0.03+$F$28)*0.05,2))*0.01-ROUND((($E$7*E24/12)*0.03+$F$28)*0.05,2)</f>
        <v>1727.9966388</v>
      </c>
      <c r="G24" s="76">
        <f t="shared" si="0"/>
        <v>1915.1966388</v>
      </c>
      <c r="H24" s="74">
        <f t="shared" si="3"/>
        <v>441</v>
      </c>
      <c r="I24" s="76">
        <f>ROUNDDOWN($E$7*H24/12,2)+ROUNDDOWN($E$7*H24/12,2)*0.03-ROUNDDOWN($E$7*H24/12,2)*Intro!$F$7-(ROUNDDOWN($E$7*H24/12,2)+ROUNDDOWN($E$7*H24/12,2)*0.03+ROUNDDOWN($I$28,2))*0.97*0.075-(ROUNDDOWN($E$7*H24/12,2)+ROUNDDOWN($E$7*H24/12,2)*0.03+ROUNDDOWN($I$28,2))*0.97*0.005-(ROUNDDOWN($E$7*H24/12,2)+ROUNDDOWN($E$7*H24/12,2)*0.03-ROUNDDOWN($E$7*H24/12,2)*Intro!$F$7-ROUND((($E$7*H24/12)*0.03+$I$28)*0.05,2))*0.01-ROUND((($E$7*H24/12)*0.03+$I$28)*0.05,2)</f>
        <v>1722.0483588</v>
      </c>
      <c r="J24" s="76">
        <f t="shared" si="1"/>
        <v>1956.0483588</v>
      </c>
    </row>
    <row r="25" spans="2:10" ht="19.5" customHeight="1">
      <c r="B25" s="73">
        <v>10</v>
      </c>
      <c r="C25" s="74">
        <f>Indices!C14</f>
        <v>469</v>
      </c>
      <c r="D25" s="76">
        <f>ROUNDDOWN($E$7*C25/12,2)+ROUNDDOWN($E$7*C25/12,2)*0.03-ROUNDDOWN($E$7*C25/12,2)*Intro!$F$7-(ROUNDDOWN($E$7*C25/12,2)+ROUNDDOWN($E$7*C25/12,2)*0.03)*0.97*0.075-(ROUNDDOWN($E$7*C25/12,2)+ROUNDDOWN($E$7*C25/12,2)*0.03)*0.97*0.005-(ROUNDDOWN($E$7*C25/12,2)+ROUNDDOWN($E$7*C25/12,2)*0.03-ROUNDDOWN($E$7*C25/12,2)*Intro!$F$7-ROUND($E$7*C25/12*0.03*0.05,2))*0.01-ROUND((($E$7*C25/12)*0.03)*0.05,2)</f>
        <v>1863.0108944</v>
      </c>
      <c r="E25" s="74">
        <f t="shared" si="2"/>
        <v>469</v>
      </c>
      <c r="F25" s="76">
        <f>ROUNDDOWN($E$7*E25/12,2)+ROUNDDOWN($E$7*E25/12,2)*0.03-ROUNDDOWN($E$7*E25/12,2)*Intro!$F$7-(ROUNDDOWN($E$7*E25/12,2)+ROUNDDOWN($E$7*E25/12,2)*0.03+ROUNDDOWN($F$28,2))*0.97*0.075-(ROUNDDOWN($E$7*E25/12,2)+ROUNDDOWN($E$7*E25/12,2)*0.03+ROUNDDOWN($F$28,2))*0.97*0.005-(ROUNDDOWN($E$7*E25/12,2)+ROUNDDOWN($E$7*E25/12,2)*0.03-ROUNDDOWN($E$7*E25/12,2)*Intro!$F$7-ROUND((($E$7*E25/12)*0.03+$F$28)*0.05,2))*0.01-ROUND((($E$7*E25/12)*0.03+$F$28)*0.05,2)</f>
        <v>1839.2177744000003</v>
      </c>
      <c r="G25" s="76">
        <f t="shared" si="0"/>
        <v>2026.4177744000003</v>
      </c>
      <c r="H25" s="74">
        <f t="shared" si="3"/>
        <v>469</v>
      </c>
      <c r="I25" s="76">
        <f>ROUNDDOWN($E$7*H25/12,2)+ROUNDDOWN($E$7*H25/12,2)*0.03-ROUNDDOWN($E$7*H25/12,2)*Intro!$F$7-(ROUNDDOWN($E$7*H25/12,2)+ROUNDDOWN($E$7*H25/12,2)*0.03+ROUNDDOWN($I$28,2))*0.97*0.075-(ROUNDDOWN($E$7*H25/12,2)+ROUNDDOWN($E$7*H25/12,2)*0.03+ROUNDDOWN($I$28,2))*0.97*0.005-(ROUNDDOWN($E$7*H25/12,2)+ROUNDDOWN($E$7*H25/12,2)*0.03-ROUNDDOWN($E$7*H25/12,2)*Intro!$F$7-ROUND((($E$7*H25/12)*0.03+$I$28)*0.05,2))*0.01-ROUND((($E$7*H25/12)*0.03+$I$28)*0.05,2)</f>
        <v>1833.2694944000002</v>
      </c>
      <c r="J25" s="76">
        <f t="shared" si="1"/>
        <v>2067.2694944000004</v>
      </c>
    </row>
    <row r="26" spans="2:10" ht="19.5" customHeight="1" thickBot="1">
      <c r="B26" s="78">
        <v>11</v>
      </c>
      <c r="C26" s="79">
        <f>Indices!C15</f>
        <v>515</v>
      </c>
      <c r="D26" s="81">
        <f>ROUNDDOWN($E$7*C26/12,2)+ROUNDDOWN($E$7*C26/12,2)*0.03-ROUNDDOWN($E$7*C26/12,2)*Intro!$F$7-(ROUNDDOWN($E$7*C26/12,2)+ROUNDDOWN($E$7*C26/12,2)*0.03)*0.97*0.075-(ROUNDDOWN($E$7*C26/12,2)+ROUNDDOWN($E$7*C26/12,2)*0.03)*0.97*0.005-(ROUNDDOWN($E$7*C26/12,2)+ROUNDDOWN($E$7*C26/12,2)*0.03-ROUNDDOWN($E$7*C26/12,2)*Intro!$F$7-ROUND($E$7*C26/12*0.03*0.05,2))*0.01-ROUND((($E$7*C26/12)*0.03)*0.05,2)</f>
        <v>2045.7428864000003</v>
      </c>
      <c r="E26" s="79">
        <f t="shared" si="2"/>
        <v>515</v>
      </c>
      <c r="F26" s="81">
        <f>ROUNDDOWN($E$7*E26/12,2)+ROUNDDOWN($E$7*E26/12,2)*0.03-ROUNDDOWN($E$7*E26/12,2)*Intro!$F$7-(ROUNDDOWN($E$7*E26/12,2)+ROUNDDOWN($E$7*E26/12,2)*0.03+ROUNDDOWN($F$28,2))*0.97*0.075-(ROUNDDOWN($E$7*E26/12,2)+ROUNDDOWN($E$7*E26/12,2)*0.03+ROUNDDOWN($F$28,2))*0.97*0.005-(ROUNDDOWN($E$7*E26/12,2)+ROUNDDOWN($E$7*E26/12,2)*0.03-ROUNDDOWN($E$7*E26/12,2)*Intro!$F$7-ROUND((($E$7*E26/12)*0.03+$F$28)*0.05,2))*0.01-ROUND((($E$7*E26/12)*0.03+$F$28)*0.05,2)</f>
        <v>2021.9497663999998</v>
      </c>
      <c r="G26" s="81">
        <f t="shared" si="0"/>
        <v>2209.1497664</v>
      </c>
      <c r="H26" s="79">
        <f t="shared" si="3"/>
        <v>515</v>
      </c>
      <c r="I26" s="81">
        <f>ROUNDDOWN($E$7*H26/12,2)+ROUNDDOWN($E$7*H26/12,2)*0.03-ROUNDDOWN($E$7*H26/12,2)*Intro!$F$7-(ROUNDDOWN($E$7*H26/12,2)+ROUNDDOWN($E$7*H26/12,2)*0.03+ROUNDDOWN($I$28,2))*0.97*0.075-(ROUNDDOWN($E$7*H26/12,2)+ROUNDDOWN($E$7*H26/12,2)*0.03+ROUNDDOWN($I$28,2))*0.97*0.005-(ROUNDDOWN($E$7*H26/12,2)+ROUNDDOWN($E$7*H26/12,2)*0.03-ROUNDDOWN($E$7*H26/12,2)*Intro!$F$7-ROUND((($E$7*H26/12)*0.03+$I$28)*0.05,2))*0.01-ROUND((($E$7*H26/12)*0.03+$I$28)*0.05,2)</f>
        <v>2016.0014864</v>
      </c>
      <c r="J26" s="81">
        <f t="shared" si="1"/>
        <v>2250.0014864</v>
      </c>
    </row>
    <row r="27" spans="3:11" ht="19.5" customHeight="1" thickBot="1" thickTop="1">
      <c r="C27" s="83"/>
      <c r="D27" s="83"/>
      <c r="E27" s="83"/>
      <c r="F27" s="176" t="s">
        <v>10</v>
      </c>
      <c r="G27" s="176"/>
      <c r="H27" s="176"/>
      <c r="I27" s="176"/>
      <c r="J27" s="176"/>
      <c r="K27" s="117"/>
    </row>
    <row r="28" spans="3:10" s="86" customFormat="1" ht="16.5" thickBot="1" thickTop="1">
      <c r="C28" s="120" t="s">
        <v>47</v>
      </c>
      <c r="D28" s="122">
        <f>Intro!H4</f>
        <v>38717</v>
      </c>
      <c r="F28" s="174">
        <f>Intro!C4</f>
        <v>187.2</v>
      </c>
      <c r="G28" s="175"/>
      <c r="H28" s="121"/>
      <c r="I28" s="174">
        <f>Intro!F4</f>
        <v>234</v>
      </c>
      <c r="J28" s="175"/>
    </row>
    <row r="29" spans="3:11" s="86" customFormat="1" ht="39.75" customHeight="1" thickBot="1" thickTop="1">
      <c r="C29" s="87"/>
      <c r="D29" s="87"/>
      <c r="E29" s="88"/>
      <c r="F29" s="89"/>
      <c r="G29" s="89"/>
      <c r="H29" s="90"/>
      <c r="I29" s="91"/>
      <c r="J29" s="91"/>
      <c r="K29" s="91"/>
    </row>
    <row r="30" spans="3:12" ht="19.5" customHeight="1" thickBot="1" thickTop="1">
      <c r="C30" s="177" t="s">
        <v>17</v>
      </c>
      <c r="D30" s="179"/>
      <c r="E30" s="86"/>
      <c r="H30" s="86"/>
      <c r="K30" s="108"/>
      <c r="L30" s="108"/>
    </row>
    <row r="31" spans="2:13" s="58" customFormat="1" ht="19.5" customHeight="1" thickTop="1">
      <c r="B31" s="148" t="s">
        <v>13</v>
      </c>
      <c r="C31" s="152" t="s">
        <v>14</v>
      </c>
      <c r="D31" s="167" t="s">
        <v>15</v>
      </c>
      <c r="H31" s="92"/>
      <c r="K31" s="109"/>
      <c r="L31" s="109"/>
      <c r="M31" s="109"/>
    </row>
    <row r="32" spans="2:4" s="93" customFormat="1" ht="19.5" customHeight="1" thickBot="1">
      <c r="B32" s="149"/>
      <c r="C32" s="153"/>
      <c r="D32" s="168"/>
    </row>
    <row r="33" spans="2:13" s="93" customFormat="1" ht="19.5" customHeight="1" thickTop="1">
      <c r="B33" s="67">
        <v>1</v>
      </c>
      <c r="C33" s="68">
        <f>Indices!F5</f>
        <v>349</v>
      </c>
      <c r="D33" s="94">
        <f>ROUNDDOWN($E$7*C33/12,2)+ROUNDDOWN($E$7*C33/12,2)*0.03-ROUNDDOWN($E$7*C33/12,2)*Intro!$F$7-(ROUNDDOWN($E$7*C33/12,2)+ROUNDDOWN($E$7*C33/12,2)*0.03)*0.97*0.075-(ROUNDDOWN($E$7*C33/12,2)+ROUNDDOWN($E$7*C33/12,2)*0.03)*0.97*0.005-(ROUNDDOWN($E$7*C33/12,2)+ROUNDDOWN($E$7*C33/12,2)*0.03-ROUNDDOWN($E$7*C33/12,2)*Intro!$F$7-ROUND($E$7*C33/12*0.03*0.05,2))*0.01-ROUND((($E$7*C33/12)*0.03)*0.05,2)</f>
        <v>1386.3429624799999</v>
      </c>
      <c r="K33" s="109"/>
      <c r="L33" s="109"/>
      <c r="M33" s="109"/>
    </row>
    <row r="34" spans="2:4" s="93" customFormat="1" ht="19.5" customHeight="1" thickBot="1">
      <c r="B34" s="73">
        <v>2</v>
      </c>
      <c r="C34" s="74">
        <f>Indices!F6</f>
        <v>376</v>
      </c>
      <c r="D34" s="95">
        <f>ROUNDDOWN($E$7*C34/12,2)+ROUNDDOWN($E$7*C34/12,2)*0.03-ROUNDDOWN($E$7*C34/12,2)*Intro!$F$7-(ROUNDDOWN($E$7*C34/12,2)+ROUNDDOWN($E$7*C34/12,2)*0.03)*0.97*0.075-(ROUNDDOWN($E$7*C34/12,2)+ROUNDDOWN($E$7*C34/12,2)*0.03)*0.97*0.005-(ROUNDDOWN($E$7*C34/12,2)+ROUNDDOWN($E$7*C34/12,2)*0.03-ROUNDDOWN($E$7*C34/12,2)*Intro!$F$7-ROUND($E$7*C34/12*0.03*0.05,2))*0.01-ROUND((($E$7*C34/12)*0.03)*0.05,2)</f>
        <v>1493.5864563200003</v>
      </c>
    </row>
    <row r="35" spans="2:12" s="58" customFormat="1" ht="19.5" customHeight="1" thickTop="1">
      <c r="B35" s="73">
        <v>3</v>
      </c>
      <c r="C35" s="74">
        <f>Indices!F7</f>
        <v>410</v>
      </c>
      <c r="D35" s="95">
        <f>ROUNDDOWN($E$7*C35/12,2)+ROUNDDOWN($E$7*C35/12,2)*0.03-ROUNDDOWN($E$7*C35/12,2)*Intro!$F$7-(ROUNDDOWN($E$7*C35/12,2)+ROUNDDOWN($E$7*C35/12,2)*0.03)*0.97*0.075-(ROUNDDOWN($E$7*C35/12,2)+ROUNDDOWN($E$7*C35/12,2)*0.03)*0.97*0.005-(ROUNDDOWN($E$7*C35/12,2)+ROUNDDOWN($E$7*C35/12,2)*0.03-ROUNDDOWN($E$7*C35/12,2)*Intro!$F$7-ROUND($E$7*C35/12*0.03*0.05,2))*0.01-ROUND((($E$7*C35/12)*0.03)*0.05,2)</f>
        <v>1628.64167944</v>
      </c>
      <c r="E35" s="181" t="s">
        <v>45</v>
      </c>
      <c r="F35" s="181"/>
      <c r="G35" s="182"/>
      <c r="H35" s="93"/>
      <c r="I35" s="93"/>
      <c r="J35" s="93"/>
      <c r="K35" s="93"/>
      <c r="L35" s="109"/>
    </row>
    <row r="36" spans="2:11" ht="19.5" customHeight="1" thickBot="1">
      <c r="B36" s="73">
        <v>4</v>
      </c>
      <c r="C36" s="74">
        <f>Indices!F8</f>
        <v>431</v>
      </c>
      <c r="D36" s="95">
        <f>ROUNDDOWN($E$7*C36/12,2)+ROUNDDOWN($E$7*C36/12,2)*0.03-ROUNDDOWN($E$7*C36/12,2)*Intro!$F$7-(ROUNDDOWN($E$7*C36/12,2)+ROUNDDOWN($E$7*C36/12,2)*0.03)*0.97*0.075-(ROUNDDOWN($E$7*C36/12,2)+ROUNDDOWN($E$7*C36/12,2)*0.03)*0.97*0.005-(ROUNDDOWN($E$7*C36/12,2)+ROUNDDOWN($E$7*C36/12,2)*0.03-ROUNDDOWN($E$7*C36/12,2)*Intro!$F$7-ROUND($E$7*C36/12*0.03*0.05,2))*0.01-ROUND((($E$7*C36/12)*0.03)*0.05,2)</f>
        <v>1712.0695796</v>
      </c>
      <c r="E36" s="183"/>
      <c r="F36" s="183"/>
      <c r="G36" s="184"/>
      <c r="H36" s="93"/>
      <c r="I36" s="93"/>
      <c r="J36" s="93"/>
      <c r="K36" s="93"/>
    </row>
    <row r="37" spans="2:12" ht="19.5" customHeight="1" thickTop="1">
      <c r="B37" s="73">
        <v>5</v>
      </c>
      <c r="C37" s="74">
        <f>Indices!F9</f>
        <v>453</v>
      </c>
      <c r="D37" s="95">
        <f>ROUNDDOWN($E$7*C37/12,2)+ROUNDDOWN($E$7*C37/12,2)*0.03-ROUNDDOWN($E$7*C37/12,2)*Intro!$F$7-(ROUNDDOWN($E$7*C37/12,2)+ROUNDDOWN($E$7*C37/12,2)*0.03)*0.97*0.075-(ROUNDDOWN($E$7*C37/12,2)+ROUNDDOWN($E$7*C37/12,2)*0.03)*0.97*0.005-(ROUNDDOWN($E$7*C37/12,2)+ROUNDDOWN($E$7*C37/12,2)*0.03-ROUNDDOWN($E$7*C37/12,2)*Intro!$F$7-ROUND($E$7*C37/12*0.03*0.05,2))*0.01-ROUND((($E$7*C37/12)*0.03)*0.05,2)</f>
        <v>1799.4566276799999</v>
      </c>
      <c r="E37" s="150" t="s">
        <v>13</v>
      </c>
      <c r="F37" s="154" t="s">
        <v>14</v>
      </c>
      <c r="G37" s="167" t="s">
        <v>15</v>
      </c>
      <c r="H37" s="96" t="s">
        <v>16</v>
      </c>
      <c r="I37" s="114"/>
      <c r="J37" s="114"/>
      <c r="K37" s="114"/>
      <c r="L37" s="111"/>
    </row>
    <row r="38" spans="2:12" ht="19.5" customHeight="1" thickBot="1">
      <c r="B38" s="73">
        <v>6</v>
      </c>
      <c r="C38" s="74">
        <f>Indices!F10</f>
        <v>467</v>
      </c>
      <c r="D38" s="95">
        <f>ROUNDDOWN($E$7*C38/12,2)+ROUNDDOWN($E$7*C38/12,2)*0.03-ROUNDDOWN($E$7*C38/12,2)*Intro!$F$7-(ROUNDDOWN($E$7*C38/12,2)+ROUNDDOWN($E$7*C38/12,2)*0.03)*0.97*0.075-(ROUNDDOWN($E$7*C38/12,2)+ROUNDDOWN($E$7*C38/12,2)*0.03)*0.97*0.005-(ROUNDDOWN($E$7*C38/12,2)+ROUNDDOWN($E$7*C38/12,2)*0.03-ROUNDDOWN($E$7*C38/12,2)*Intro!$F$7-ROUND($E$7*C38/12*0.03*0.05,2))*0.01-ROUND((($E$7*C38/12)*0.03)*0.05,2)</f>
        <v>1855.0727985600004</v>
      </c>
      <c r="E38" s="151"/>
      <c r="F38" s="126"/>
      <c r="G38" s="168"/>
      <c r="H38" s="115" t="s">
        <v>42</v>
      </c>
      <c r="I38" s="101"/>
      <c r="J38" s="101"/>
      <c r="K38" s="101"/>
      <c r="L38" s="111"/>
    </row>
    <row r="39" spans="2:11" ht="19.5" customHeight="1" thickTop="1">
      <c r="B39" s="73">
        <v>7</v>
      </c>
      <c r="C39" s="74">
        <f>Indices!F11</f>
        <v>495</v>
      </c>
      <c r="D39" s="95">
        <f>ROUNDDOWN($E$7*C39/12,2)+ROUNDDOWN($E$7*C39/12,2)*0.03-ROUNDDOWN($E$7*C39/12,2)*Intro!$F$7-(ROUNDDOWN($E$7*C39/12,2)+ROUNDDOWN($E$7*C39/12,2)*0.03)*0.97*0.075-(ROUNDDOWN($E$7*C39/12,2)+ROUNDDOWN($E$7*C39/12,2)*0.03)*0.97*0.005-(ROUNDDOWN($E$7*C39/12,2)+ROUNDDOWN($E$7*C39/12,2)*0.03-ROUNDDOWN($E$7*C39/12,2)*Intro!$F$7-ROUND($E$7*C39/12*0.03*0.05,2))*0.01-ROUND((($E$7*C39/12)*0.03)*0.05,2)</f>
        <v>1966.29393416</v>
      </c>
      <c r="E39" s="97">
        <v>1</v>
      </c>
      <c r="F39" s="98">
        <f>Indices!I5</f>
        <v>495</v>
      </c>
      <c r="G39" s="94">
        <f>ROUNDDOWN($E$7*F39/12,2)+ROUNDDOWN($E$7*F39/12,2)*0.03-ROUNDDOWN($E$7*F39/12,2)*Intro!$F$7-(ROUNDDOWN($E$7*F39/12,2)+ROUNDDOWN($E$7*F39/12,2)*0.03)*0.97*0.075-(ROUNDDOWN($E$7*F39/12,2)+ROUNDDOWN($E$7*F39/12,2)*0.03)*0.97*0.005-(ROUNDDOWN($E$7*F39/12,2)+ROUNDDOWN($E$7*F39/12,2)*0.03-ROUNDDOWN($E$7*F39/12,2)*Intro!$F$7-ROUND($E$7*F39/12*0.03*0.05,2))*0.01-ROUND((($E$7*F39/12)*0.03)*0.05,2)</f>
        <v>1966.29393416</v>
      </c>
      <c r="H39" s="146" t="s">
        <v>49</v>
      </c>
      <c r="I39" s="147"/>
      <c r="J39" s="147"/>
      <c r="K39" s="147"/>
    </row>
    <row r="40" spans="2:11" ht="19.5" customHeight="1">
      <c r="B40" s="73">
        <v>8</v>
      </c>
      <c r="C40" s="74">
        <f>Indices!F12</f>
        <v>531</v>
      </c>
      <c r="D40" s="95">
        <f>ROUNDDOWN($E$7*C40/12,2)+ROUNDDOWN($E$7*C40/12,2)*0.03-ROUNDDOWN($E$7*C40/12,2)*Intro!$F$7-(ROUNDDOWN($E$7*C40/12,2)+ROUNDDOWN($E$7*C40/12,2)*0.03)*0.97*0.075-(ROUNDDOWN($E$7*C40/12,2)+ROUNDDOWN($E$7*C40/12,2)*0.03)*0.97*0.005-(ROUNDDOWN($E$7*C40/12,2)+ROUNDDOWN($E$7*C40/12,2)*0.03-ROUNDDOWN($E$7*C40/12,2)*Intro!$F$7-ROUND($E$7*C40/12*0.03*0.05,2))*0.01-ROUND((($E$7*C40/12)*0.03)*0.05,2)</f>
        <v>2109.29715312</v>
      </c>
      <c r="E40" s="99">
        <v>2</v>
      </c>
      <c r="F40" s="100">
        <f>Indices!I6</f>
        <v>560</v>
      </c>
      <c r="G40" s="95">
        <f>ROUNDDOWN($E$7*F40/12,2)+ROUNDDOWN($E$7*F40/12,2)*0.03-ROUNDDOWN($E$7*F40/12,2)*Intro!$F$7-(ROUNDDOWN($E$7*F40/12,2)+ROUNDDOWN($E$7*F40/12,2)*0.03)*0.97*0.075-(ROUNDDOWN($E$7*F40/12,2)+ROUNDDOWN($E$7*F40/12,2)*0.03)*0.97*0.005-(ROUNDDOWN($E$7*F40/12,2)+ROUNDDOWN($E$7*F40/12,2)*0.03-ROUNDDOWN($E$7*F40/12,2)*Intro!$F$7-ROUND($E$7*F40/12*0.03*0.05,2))*0.01-ROUND((($E$7*F40/12)*0.03)*0.05,2)</f>
        <v>2224.49723664</v>
      </c>
      <c r="H40" s="146"/>
      <c r="I40" s="147"/>
      <c r="J40" s="147"/>
      <c r="K40" s="147"/>
    </row>
    <row r="41" spans="2:11" ht="19.5" customHeight="1">
      <c r="B41" s="73">
        <v>9</v>
      </c>
      <c r="C41" s="74">
        <f>Indices!F13</f>
        <v>567</v>
      </c>
      <c r="D41" s="95">
        <f>ROUNDDOWN($E$7*C41/12,2)+ROUNDDOWN($E$7*C41/12,2)*0.03-ROUNDDOWN($E$7*C41/12,2)*Intro!$F$7-(ROUNDDOWN($E$7*C41/12,2)+ROUNDDOWN($E$7*C41/12,2)*0.03)*0.97*0.075-(ROUNDDOWN($E$7*C41/12,2)+ROUNDDOWN($E$7*C41/12,2)*0.03)*0.97*0.005-(ROUNDDOWN($E$7*C41/12,2)+ROUNDDOWN($E$7*C41/12,2)*0.03-ROUNDDOWN($E$7*C41/12,2)*Intro!$F$7-ROUND($E$7*C41/12*0.03*0.05,2))*0.01-ROUND((($E$7*C41/12)*0.03)*0.05,2)</f>
        <v>2252.3003720799998</v>
      </c>
      <c r="E41" s="99">
        <v>3</v>
      </c>
      <c r="F41" s="100">
        <f>Indices!I7</f>
        <v>601</v>
      </c>
      <c r="G41" s="95">
        <f>ROUNDDOWN($E$7*F41/12,2)+ROUNDDOWN($E$7*F41/12,2)*0.03-ROUNDDOWN($E$7*F41/12,2)*Intro!$F$7-(ROUNDDOWN($E$7*F41/12,2)+ROUNDDOWN($E$7*F41/12,2)*0.03)*0.97*0.075-(ROUNDDOWN($E$7*F41/12,2)+ROUNDDOWN($E$7*F41/12,2)*0.03)*0.97*0.005-(ROUNDDOWN($E$7*F41/12,2)+ROUNDDOWN($E$7*F41/12,2)*0.03-ROUNDDOWN($E$7*F41/12,2)*Intro!$F$7-ROUND($E$7*F41/12*0.03*0.05,2))*0.01-ROUND((($E$7*F41/12)*0.03)*0.05,2)</f>
        <v>2387.3654951999997</v>
      </c>
      <c r="H41" s="115" t="s">
        <v>43</v>
      </c>
      <c r="I41" s="116"/>
      <c r="J41" s="116"/>
      <c r="K41" s="101"/>
    </row>
    <row r="42" spans="2:11" ht="19.5" customHeight="1">
      <c r="B42" s="73">
        <v>10</v>
      </c>
      <c r="C42" s="74">
        <f>Indices!F14</f>
        <v>612</v>
      </c>
      <c r="D42" s="95">
        <f>ROUNDDOWN($E$7*C42/12,2)+ROUNDDOWN($E$7*C42/12,2)*0.03-ROUNDDOWN($E$7*C42/12,2)*Intro!$F$7-(ROUNDDOWN($E$7*C42/12,2)+ROUNDDOWN($E$7*C42/12,2)*0.03)*0.97*0.075-(ROUNDDOWN($E$7*C42/12,2)+ROUNDDOWN($E$7*C42/12,2)*0.03)*0.97*0.005-(ROUNDDOWN($E$7*C42/12,2)+ROUNDDOWN($E$7*C42/12,2)*0.03-ROUNDDOWN($E$7*C42/12,2)*Intro!$F$7-ROUND($E$7*C42/12*0.03*0.05,2))*0.01-ROUND((($E$7*C42/12)*0.03)*0.05,2)</f>
        <v>2431.0547223199997</v>
      </c>
      <c r="E42" s="99">
        <v>4</v>
      </c>
      <c r="F42" s="100">
        <f>Indices!I8</f>
        <v>642</v>
      </c>
      <c r="G42" s="95">
        <f>ROUNDDOWN($E$7*F42/12,2)+ROUNDDOWN($E$7*F42/12,2)*0.03-ROUNDDOWN($E$7*F42/12,2)*Intro!$F$7-(ROUNDDOWN($E$7*F42/12,2)+ROUNDDOWN($E$7*F42/12,2)*0.03)*0.97*0.075-(ROUNDDOWN($E$7*F42/12,2)+ROUNDDOWN($E$7*F42/12,2)*0.03)*0.97*0.005-(ROUNDDOWN($E$7*F42/12,2)+ROUNDDOWN($E$7*F42/12,2)*0.03-ROUNDDOWN($E$7*F42/12,2)*Intro!$F$7-ROUND($E$7*F42/12*0.03*0.05,2))*0.01-ROUND((($E$7*F42/12)*0.03)*0.05,2)</f>
        <v>2550.2238537599997</v>
      </c>
      <c r="H42" s="115" t="s">
        <v>44</v>
      </c>
      <c r="I42" s="101"/>
      <c r="J42" s="101"/>
      <c r="K42" s="101"/>
    </row>
    <row r="43" spans="2:11" ht="19.5" customHeight="1" thickBot="1">
      <c r="B43" s="78">
        <v>11</v>
      </c>
      <c r="C43" s="79">
        <f>Indices!F15</f>
        <v>658</v>
      </c>
      <c r="D43" s="102">
        <f>ROUNDDOWN($E$7*C43/12,2)+ROUNDDOWN($E$7*C43/12,2)*0.03-ROUNDDOWN($E$7*C43/12,2)*Intro!$F$7-(ROUNDDOWN($E$7*C43/12,2)+ROUNDDOWN($E$7*C43/12,2)*0.03)*0.97*0.075-(ROUNDDOWN($E$7*C43/12,2)+ROUNDDOWN($E$7*C43/12,2)*0.03)*0.97*0.005-(ROUNDDOWN($E$7*C43/12,2)+ROUNDDOWN($E$7*C43/12,2)*0.03-ROUNDDOWN($E$7*C43/12,2)*Intro!$F$7-ROUND($E$7*C43/12*0.03*0.05,2))*0.01-ROUND((($E$7*C43/12)*0.03)*0.05,2)</f>
        <v>2613.78671432</v>
      </c>
      <c r="E43" s="99">
        <v>5</v>
      </c>
      <c r="F43" s="100">
        <f>Indices!I9</f>
        <v>695</v>
      </c>
      <c r="G43" s="95">
        <f>ROUNDDOWN($E$7*F43/12,2)+ROUNDDOWN($E$7*F43/12,2)*0.03-ROUNDDOWN($E$7*F43/12,2)*Intro!$F$7-(ROUNDDOWN($E$7*F43/12,2)+ROUNDDOWN($E$7*F43/12,2)*0.03)*0.97*0.075-(ROUNDDOWN($E$7*F43/12,2)+ROUNDDOWN($E$7*F43/12,2)*0.03)*0.97*0.005-(ROUNDDOWN($E$7*F43/12,2)+ROUNDDOWN($E$7*F43/12,2)*0.03-ROUNDDOWN($E$7*F43/12,2)*Intro!$F$7-ROUND($E$7*F43/12*0.03*0.05,2))*0.01-ROUND((($E$7*F43/12)*0.03)*0.05,2)</f>
        <v>2760.7589812</v>
      </c>
      <c r="H43" s="146" t="s">
        <v>46</v>
      </c>
      <c r="I43" s="147"/>
      <c r="J43" s="147"/>
      <c r="K43" s="147"/>
    </row>
    <row r="44" spans="5:11" ht="19.5" customHeight="1" thickTop="1">
      <c r="E44" s="73">
        <v>6</v>
      </c>
      <c r="F44" s="100">
        <f>Indices!I10</f>
        <v>741</v>
      </c>
      <c r="G44" s="95">
        <f>ROUNDDOWN($E$7*F44/12,2)+ROUNDDOWN($E$7*F44/12,2)*0.03-ROUNDDOWN($E$7*F44/12,2)*Intro!$F$7-(ROUNDDOWN($E$7*F44/12,2)+ROUNDDOWN($E$7*F44/12,2)*0.03)*0.97*0.075-(ROUNDDOWN($E$7*F44/12,2)+ROUNDDOWN($E$7*F44/12,2)*0.03)*0.97*0.005-(ROUNDDOWN($E$7*F44/12,2)+ROUNDDOWN($E$7*F44/12,2)*0.03-ROUNDDOWN($E$7*F44/12,2)*Intro!$F$7-ROUND($E$7*F44/12*0.03*0.05,2))*0.01-ROUND((($E$7*F44/12)*0.03)*0.05,2)</f>
        <v>2943.48237936</v>
      </c>
      <c r="H44" s="146"/>
      <c r="I44" s="147"/>
      <c r="J44" s="147"/>
      <c r="K44" s="147"/>
    </row>
    <row r="45" spans="3:9" ht="19.5" customHeight="1" thickBot="1">
      <c r="C45" s="58"/>
      <c r="D45" s="58"/>
      <c r="E45" s="78">
        <v>7</v>
      </c>
      <c r="F45" s="103">
        <f>Indices!I11</f>
        <v>783</v>
      </c>
      <c r="G45" s="102">
        <f>ROUNDDOWN($E$7*F45/12,2)+ROUNDDOWN($E$7*F45/12,2)*0.03-ROUNDDOWN($E$7*F45/12,2)*Intro!$F$7-(ROUNDDOWN($E$7*F45/12,2)+ROUNDDOWN($E$7*F45/12,2)*0.03)*0.97*0.075-(ROUNDDOWN($E$7*F45/12,2)+ROUNDDOWN($E$7*F45/12,2)*0.03)*0.97*0.005-(ROUNDDOWN($E$7*F45/12,2)+ROUNDDOWN($E$7*F45/12,2)*0.03-ROUNDDOWN($E$7*F45/12,2)*Intro!$F$7-ROUND($E$7*F45/12*0.03*0.05,2))*0.01-ROUND((($E$7*F45/12)*0.03)*0.05,2)</f>
        <v>3110.3196858400006</v>
      </c>
      <c r="I45" s="118"/>
    </row>
    <row r="46" spans="3:9" ht="15" thickTop="1">
      <c r="C46" s="93"/>
      <c r="D46" s="93"/>
      <c r="I46" s="119"/>
    </row>
    <row r="47" spans="3:5" ht="14.25">
      <c r="C47" s="93"/>
      <c r="D47" s="93"/>
      <c r="E47" s="93"/>
    </row>
    <row r="48" spans="3:5" ht="14.25">
      <c r="C48" s="93"/>
      <c r="D48" s="93"/>
      <c r="E48" s="93"/>
    </row>
    <row r="49" spans="3:5" ht="14.25">
      <c r="C49" s="58"/>
      <c r="D49" s="58"/>
      <c r="E49" s="58"/>
    </row>
  </sheetData>
  <sheetProtection password="CD3F" sheet="1" objects="1" scenarios="1" selectLockedCells="1"/>
  <mergeCells count="32">
    <mergeCell ref="C30:D30"/>
    <mergeCell ref="D14:D15"/>
    <mergeCell ref="E35:G36"/>
    <mergeCell ref="D31:D32"/>
    <mergeCell ref="F28:G28"/>
    <mergeCell ref="I28:J28"/>
    <mergeCell ref="F27:J27"/>
    <mergeCell ref="C12:J12"/>
    <mergeCell ref="F14:G14"/>
    <mergeCell ref="I14:J14"/>
    <mergeCell ref="E14:E15"/>
    <mergeCell ref="H14:H15"/>
    <mergeCell ref="H13:J13"/>
    <mergeCell ref="B14:B15"/>
    <mergeCell ref="C14:C15"/>
    <mergeCell ref="C13:D13"/>
    <mergeCell ref="E13:G13"/>
    <mergeCell ref="B2:C2"/>
    <mergeCell ref="E7:F7"/>
    <mergeCell ref="E8:F8"/>
    <mergeCell ref="E9:F9"/>
    <mergeCell ref="B4:I5"/>
    <mergeCell ref="H7:K9"/>
    <mergeCell ref="J4:K4"/>
    <mergeCell ref="J5:K5"/>
    <mergeCell ref="H43:K44"/>
    <mergeCell ref="B31:B32"/>
    <mergeCell ref="E37:E38"/>
    <mergeCell ref="C31:C32"/>
    <mergeCell ref="F37:F38"/>
    <mergeCell ref="H39:K40"/>
    <mergeCell ref="G37:G38"/>
  </mergeCells>
  <conditionalFormatting sqref="B16:J26">
    <cfRule type="expression" priority="1" dxfId="0" stopIfTrue="1">
      <formula>(EVEN(ROW())=ROW())</formula>
    </cfRule>
  </conditionalFormatting>
  <conditionalFormatting sqref="B33:D43 E39:G4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1.4173228346456694" footer="0"/>
  <pageSetup fitToHeight="1" fitToWidth="1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1"/>
  <sheetViews>
    <sheetView showGridLines="0" showRowColHeaders="0" tabSelected="1" zoomScale="85" zoomScaleNormal="85" zoomScaleSheetLayoutView="100" workbookViewId="0" topLeftCell="A1">
      <selection activeCell="L38" sqref="L38"/>
    </sheetView>
  </sheetViews>
  <sheetFormatPr defaultColWidth="11.19921875" defaultRowHeight="15"/>
  <cols>
    <col min="1" max="1" width="2.59765625" style="52" customWidth="1"/>
    <col min="2" max="2" width="8.09765625" style="52" customWidth="1"/>
    <col min="3" max="10" width="11.09765625" style="52" customWidth="1"/>
    <col min="11" max="11" width="8.5" style="52" customWidth="1"/>
    <col min="12" max="12" width="8.8984375" style="52" customWidth="1"/>
    <col min="13" max="14" width="11" style="52" customWidth="1"/>
    <col min="15" max="15" width="11.09765625" style="52" customWidth="1"/>
    <col min="16" max="16384" width="11" style="52" customWidth="1"/>
  </cols>
  <sheetData>
    <row r="2" spans="2:10" ht="24" customHeight="1">
      <c r="B2" s="155" t="s">
        <v>33</v>
      </c>
      <c r="C2" s="155"/>
      <c r="D2" s="104"/>
      <c r="E2" s="104"/>
      <c r="F2" s="104"/>
      <c r="G2" s="104"/>
      <c r="H2" s="104"/>
      <c r="I2" s="104"/>
      <c r="J2" s="104"/>
    </row>
    <row r="3" ht="10.5" customHeight="1" thickBot="1">
      <c r="B3" s="53"/>
    </row>
    <row r="4" spans="2:10" s="54" customFormat="1" ht="36" customHeight="1" thickTop="1">
      <c r="B4" s="191" t="s">
        <v>40</v>
      </c>
      <c r="C4" s="192"/>
      <c r="D4" s="192"/>
      <c r="E4" s="192"/>
      <c r="F4" s="192"/>
      <c r="G4" s="192"/>
      <c r="H4" s="193"/>
      <c r="I4" s="197" t="s">
        <v>19</v>
      </c>
      <c r="J4" s="198"/>
    </row>
    <row r="5" spans="2:10" s="54" customFormat="1" ht="36" customHeight="1" thickBot="1">
      <c r="B5" s="194"/>
      <c r="C5" s="195"/>
      <c r="D5" s="195"/>
      <c r="E5" s="195"/>
      <c r="F5" s="195"/>
      <c r="G5" s="195"/>
      <c r="H5" s="196"/>
      <c r="I5" s="199">
        <f>Intro!H2</f>
        <v>38898</v>
      </c>
      <c r="J5" s="200"/>
    </row>
    <row r="6" spans="2:8" s="56" customFormat="1" ht="9.75" customHeight="1" thickTop="1">
      <c r="B6" s="55"/>
      <c r="C6" s="55"/>
      <c r="D6" s="55"/>
      <c r="E6" s="55"/>
      <c r="F6" s="55"/>
      <c r="G6" s="55"/>
      <c r="H6" s="55"/>
    </row>
    <row r="7" spans="2:10" s="58" customFormat="1" ht="18" customHeight="1">
      <c r="B7" s="57"/>
      <c r="D7" s="59" t="s">
        <v>4</v>
      </c>
      <c r="E7" s="156">
        <f>Intro!F2</f>
        <v>55.5635</v>
      </c>
      <c r="F7" s="157"/>
      <c r="G7" s="60"/>
      <c r="H7" s="169" t="s">
        <v>32</v>
      </c>
      <c r="I7" s="169"/>
      <c r="J7" s="169"/>
    </row>
    <row r="8" spans="2:10" s="58" customFormat="1" ht="18" customHeight="1">
      <c r="B8" s="57"/>
      <c r="D8" s="59" t="s">
        <v>2</v>
      </c>
      <c r="E8" s="158">
        <f>ROUNDDOWN(E7/12,2)</f>
        <v>4.63</v>
      </c>
      <c r="F8" s="158"/>
      <c r="G8" s="60"/>
      <c r="H8" s="169"/>
      <c r="I8" s="169"/>
      <c r="J8" s="169"/>
    </row>
    <row r="9" spans="2:13" s="58" customFormat="1" ht="18" customHeight="1">
      <c r="B9" s="57"/>
      <c r="D9" s="59" t="s">
        <v>3</v>
      </c>
      <c r="E9" s="158">
        <f>ROUNDDOWN($E$7/12,2)+ROUNDDOWN($E$7/12,2)*0.01-ROUNDDOWN($E$7/12,2)*Intro!$F$7-(ROUNDDOWN($E$7/12,2)+ROUNDDOWN($E$7/12,2)*0.01)*0.97*0.075-(ROUNDDOWN($E$7/12,2)+ROUNDDOWN($E$7/12,2)*0.01)*0.97*0.005-(ROUNDDOWN($E$7/12,2)+ROUNDDOWN($E$7/12,2)*0.01-ROUNDDOWN($E$7/12,2)*Intro!$F$7-ROUNDDOWN($E$7/12,2)*0.01*0.05)*0.01</f>
        <v>3.894482829999999</v>
      </c>
      <c r="F9" s="158"/>
      <c r="G9" s="60"/>
      <c r="H9" s="169"/>
      <c r="I9" s="169"/>
      <c r="J9" s="169"/>
      <c r="M9" s="56"/>
    </row>
    <row r="10" spans="2:7" s="58" customFormat="1" ht="18" customHeight="1">
      <c r="B10" s="57"/>
      <c r="D10" s="107" t="s">
        <v>11</v>
      </c>
      <c r="E10" s="106"/>
      <c r="F10" s="106"/>
      <c r="G10" s="60"/>
    </row>
    <row r="11" spans="2:7" s="58" customFormat="1" ht="18" customHeight="1">
      <c r="B11" s="57"/>
      <c r="D11" s="107"/>
      <c r="E11" s="106"/>
      <c r="F11" s="106"/>
      <c r="G11" s="60"/>
    </row>
    <row r="12" spans="2:7" s="58" customFormat="1" ht="18" customHeight="1">
      <c r="B12" s="57"/>
      <c r="D12" s="107"/>
      <c r="E12" s="106"/>
      <c r="F12" s="106"/>
      <c r="G12" s="60"/>
    </row>
    <row r="13" s="58" customFormat="1" ht="22.5" customHeight="1" thickBot="1">
      <c r="J13" s="61" t="s">
        <v>39</v>
      </c>
    </row>
    <row r="14" spans="2:10" s="63" customFormat="1" ht="19.5" customHeight="1" thickBot="1" thickTop="1">
      <c r="B14" s="62"/>
      <c r="C14" s="177" t="s">
        <v>12</v>
      </c>
      <c r="D14" s="178"/>
      <c r="E14" s="178"/>
      <c r="F14" s="178"/>
      <c r="G14" s="178"/>
      <c r="H14" s="178"/>
      <c r="I14" s="178"/>
      <c r="J14" s="179"/>
    </row>
    <row r="15" spans="2:10" s="63" customFormat="1" ht="19.5" customHeight="1" thickBot="1" thickTop="1">
      <c r="B15" s="62"/>
      <c r="C15" s="160" t="s">
        <v>26</v>
      </c>
      <c r="D15" s="162"/>
      <c r="E15" s="160" t="s">
        <v>0</v>
      </c>
      <c r="F15" s="161"/>
      <c r="G15" s="161"/>
      <c r="H15" s="160" t="s">
        <v>1</v>
      </c>
      <c r="I15" s="161"/>
      <c r="J15" s="162"/>
    </row>
    <row r="16" spans="2:10" s="64" customFormat="1" ht="15" thickTop="1">
      <c r="B16" s="148" t="s">
        <v>13</v>
      </c>
      <c r="C16" s="152" t="s">
        <v>14</v>
      </c>
      <c r="D16" s="187" t="s">
        <v>15</v>
      </c>
      <c r="E16" s="152" t="s">
        <v>14</v>
      </c>
      <c r="F16" s="180" t="s">
        <v>15</v>
      </c>
      <c r="G16" s="150"/>
      <c r="H16" s="154" t="s">
        <v>14</v>
      </c>
      <c r="I16" s="180" t="s">
        <v>15</v>
      </c>
      <c r="J16" s="150"/>
    </row>
    <row r="17" spans="2:10" s="64" customFormat="1" ht="43.5" thickBot="1">
      <c r="B17" s="149"/>
      <c r="C17" s="153"/>
      <c r="D17" s="188"/>
      <c r="E17" s="159"/>
      <c r="F17" s="65" t="s">
        <v>27</v>
      </c>
      <c r="G17" s="65" t="s">
        <v>41</v>
      </c>
      <c r="H17" s="126"/>
      <c r="I17" s="65" t="s">
        <v>27</v>
      </c>
      <c r="J17" s="66" t="s">
        <v>41</v>
      </c>
    </row>
    <row r="18" spans="2:10" ht="19.5" customHeight="1" thickTop="1">
      <c r="B18" s="67">
        <v>1</v>
      </c>
      <c r="C18" s="68">
        <f>Indices!C5</f>
        <v>341</v>
      </c>
      <c r="D18" s="69">
        <f>ROUNDDOWN($E$7*C18/12,2)+ROUNDDOWN($E$7*C18/12,2)*0.01-ROUNDDOWN($E$7*C18/12,2)*Intro!$F$7-(ROUNDDOWN($E$7*C18/12,2)+ROUNDDOWN($E$7*C18/12,2)*0.01)*0.97*0.075-(ROUNDDOWN($E$7*C18/12,2)+ROUNDDOWN($E$7*C18/12,2)*0.01)*0.97*0.005-(ROUNDDOWN($E$7*C18/12,2)+ROUNDDOWN($E$7*C18/12,2)*0.01-ROUNDDOWN($E$7*C18/12,2)*Intro!$F$7-ROUND($E$7*C18/12*0.01*0.05,2))*0.01-ROUND((($E$7*C18/12)*0.01)*0.05,2)</f>
        <v>1327.3043531200003</v>
      </c>
      <c r="E18" s="70">
        <f>C18</f>
        <v>341</v>
      </c>
      <c r="F18" s="71">
        <f>ROUNDDOWN($E$7*E18/12,2)+ROUNDDOWN($E$7*E18/12,2)*0.01-ROUNDDOWN($E$7*E18/12,2)*Intro!$F$7-(ROUNDDOWN($E$7*E18/12,2)+ROUNDDOWN($E$7*E18/12,2)*0.01+ROUNDDOWN($E$30,2))*0.97*0.075-(ROUNDDOWN($E$7*E18/12,2)+ROUNDDOWN($E$7*E18/12,2)*0.01+ROUNDDOWN($E$30,2))*0.97*0.005-(ROUNDDOWN($E$7*E18/12,2)+ROUNDDOWN($E$7*E18/12,2)*0.01-ROUNDDOWN($E$7*E18/12,2)*Intro!$F$7-ROUND((($E$7*E18/12)*0.01+$E$30)*0.05,2))*0.01-ROUND((($E$7*E18/12)*0.01+$E$30)*0.05,2)</f>
        <v>1303.5112331199998</v>
      </c>
      <c r="G18" s="71">
        <f aca="true" t="shared" si="0" ref="G18:G28">F18+$E$30</f>
        <v>1490.7112331199999</v>
      </c>
      <c r="H18" s="70">
        <f>C18</f>
        <v>341</v>
      </c>
      <c r="I18" s="71">
        <f>ROUNDDOWN($E$7*H18/12,2)+ROUNDDOWN($E$7*H18/12,2)*0.01-ROUNDDOWN($E$7*H18/12,2)*Intro!$F$7-(ROUNDDOWN($E$7*H18/12,2)+ROUNDDOWN($E$7*H18/12,2)*0.01+ROUNDDOWN($H$30,2))*0.97*0.075-(ROUNDDOWN($E$7*H18/12,2)+ROUNDDOWN($E$7*H18/12,2)*0.01+ROUNDDOWN($H$30,2))*0.97*0.005-(ROUNDDOWN($E$7*H18/12,2)+ROUNDDOWN($E$7*H18/12,2)*0.01-ROUNDDOWN($E$7*H18/12,2)*Intro!$F$7-ROUND((($E$7*H18/12)*0.01+$H$30)*0.05,2))*0.01-ROUND((($E$7*H18/12)*0.01+$H$30)*0.05,2)</f>
        <v>1297.56295312</v>
      </c>
      <c r="J18" s="72">
        <f aca="true" t="shared" si="1" ref="J18:J28">I18+$H$30</f>
        <v>1531.56295312</v>
      </c>
    </row>
    <row r="19" spans="2:10" ht="19.5" customHeight="1">
      <c r="B19" s="73">
        <v>2</v>
      </c>
      <c r="C19" s="74">
        <f>Indices!C6</f>
        <v>357</v>
      </c>
      <c r="D19" s="75">
        <f>ROUNDDOWN($E$7*C19/12,2)+ROUNDDOWN($E$7*C19/12,2)*0.01-ROUNDDOWN($E$7*C19/12,2)*Intro!$F$7-(ROUNDDOWN($E$7*C19/12,2)+ROUNDDOWN($E$7*C19/12,2)*0.01)*0.97*0.075-(ROUNDDOWN($E$7*C19/12,2)+ROUNDDOWN($E$7*C19/12,2)*0.01)*0.97*0.005-(ROUNDDOWN($E$7*C19/12,2)+ROUNDDOWN($E$7*C19/12,2)*0.01-ROUNDDOWN($E$7*C19/12,2)*Intro!$F$7-ROUND($E$7*C19/12*0.01*0.05,2))*0.01-ROUND((($E$7*C19/12)*0.01)*0.05,2)</f>
        <v>1389.58451936</v>
      </c>
      <c r="E19" s="74">
        <f aca="true" t="shared" si="2" ref="E19:E28">C19</f>
        <v>357</v>
      </c>
      <c r="F19" s="76">
        <f>ROUNDDOWN($E$7*E19/12,2)+ROUNDDOWN($E$7*E19/12,2)*0.01-ROUNDDOWN($E$7*E19/12,2)*Intro!$F$7-(ROUNDDOWN($E$7*E19/12,2)+ROUNDDOWN($E$7*E19/12,2)*0.01+ROUNDDOWN($E$30,2))*0.97*0.075-(ROUNDDOWN($E$7*E19/12,2)+ROUNDDOWN($E$7*E19/12,2)*0.01+ROUNDDOWN($E$30,2))*0.97*0.005-(ROUNDDOWN($E$7*E19/12,2)+ROUNDDOWN($E$7*E19/12,2)*0.01-ROUNDDOWN($E$7*E19/12,2)*Intro!$F$7-ROUND((($E$7*E19/12)*0.01+$E$30)*0.05,2))*0.01-ROUND((($E$7*E19/12)*0.01+$E$30)*0.05,2)</f>
        <v>1365.7913993599998</v>
      </c>
      <c r="G19" s="76">
        <f t="shared" si="0"/>
        <v>1552.9913993599998</v>
      </c>
      <c r="H19" s="74">
        <f aca="true" t="shared" si="3" ref="H19:H28">C19</f>
        <v>357</v>
      </c>
      <c r="I19" s="76">
        <f>ROUNDDOWN($E$7*H19/12,2)+ROUNDDOWN($E$7*H19/12,2)*0.01-ROUNDDOWN($E$7*H19/12,2)*Intro!$F$7-(ROUNDDOWN($E$7*H19/12,2)+ROUNDDOWN($E$7*H19/12,2)*0.01+ROUNDDOWN($H$30,2))*0.97*0.075-(ROUNDDOWN($E$7*H19/12,2)+ROUNDDOWN($E$7*H19/12,2)*0.01+ROUNDDOWN($H$30,2))*0.97*0.005-(ROUNDDOWN($E$7*H19/12,2)+ROUNDDOWN($E$7*H19/12,2)*0.01-ROUNDDOWN($E$7*H19/12,2)*Intro!$F$7-ROUND((($E$7*H19/12)*0.01+$H$30)*0.05,2))*0.01-ROUND((($E$7*H19/12)*0.01+$H$30)*0.05,2)</f>
        <v>1359.84311936</v>
      </c>
      <c r="J19" s="77">
        <f t="shared" si="1"/>
        <v>1593.84311936</v>
      </c>
    </row>
    <row r="20" spans="2:10" ht="19.5" customHeight="1">
      <c r="B20" s="73">
        <v>3</v>
      </c>
      <c r="C20" s="74">
        <f>Indices!C7</f>
        <v>366</v>
      </c>
      <c r="D20" s="75">
        <f>ROUNDDOWN($E$7*C20/12,2)+ROUNDDOWN($E$7*C20/12,2)*0.01-ROUNDDOWN($E$7*C20/12,2)*Intro!$F$7-(ROUNDDOWN($E$7*C20/12,2)+ROUNDDOWN($E$7*C20/12,2)*0.01)*0.97*0.075-(ROUNDDOWN($E$7*C20/12,2)+ROUNDDOWN($E$7*C20/12,2)*0.01)*0.97*0.005-(ROUNDDOWN($E$7*C20/12,2)+ROUNDDOWN($E$7*C20/12,2)*0.01-ROUNDDOWN($E$7*C20/12,2)*Intro!$F$7-ROUND($E$7*C20/12*0.01*0.05,2))*0.01-ROUND((($E$7*C20/12)*0.01)*0.05,2)</f>
        <v>1424.61485648</v>
      </c>
      <c r="E20" s="74">
        <f t="shared" si="2"/>
        <v>366</v>
      </c>
      <c r="F20" s="76">
        <f>ROUNDDOWN($E$7*E20/12,2)+ROUNDDOWN($E$7*E20/12,2)*0.01-ROUNDDOWN($E$7*E20/12,2)*Intro!$F$7-(ROUNDDOWN($E$7*E20/12,2)+ROUNDDOWN($E$7*E20/12,2)*0.01+ROUNDDOWN($E$30,2))*0.97*0.075-(ROUNDDOWN($E$7*E20/12,2)+ROUNDDOWN($E$7*E20/12,2)*0.01+ROUNDDOWN($E$30,2))*0.97*0.005-(ROUNDDOWN($E$7*E20/12,2)+ROUNDDOWN($E$7*E20/12,2)*0.01-ROUNDDOWN($E$7*E20/12,2)*Intro!$F$7-ROUND((($E$7*E20/12)*0.01+$E$30)*0.05,2))*0.01-ROUND((($E$7*E20/12)*0.01+$E$30)*0.05,2)</f>
        <v>1400.82173648</v>
      </c>
      <c r="G20" s="76">
        <f t="shared" si="0"/>
        <v>1588.02173648</v>
      </c>
      <c r="H20" s="74">
        <f t="shared" si="3"/>
        <v>366</v>
      </c>
      <c r="I20" s="76">
        <f>ROUNDDOWN($E$7*H20/12,2)+ROUNDDOWN($E$7*H20/12,2)*0.01-ROUNDDOWN($E$7*H20/12,2)*Intro!$F$7-(ROUNDDOWN($E$7*H20/12,2)+ROUNDDOWN($E$7*H20/12,2)*0.01+ROUNDDOWN($H$30,2))*0.97*0.075-(ROUNDDOWN($E$7*H20/12,2)+ROUNDDOWN($E$7*H20/12,2)*0.01+ROUNDDOWN($H$30,2))*0.97*0.005-(ROUNDDOWN($E$7*H20/12,2)+ROUNDDOWN($E$7*H20/12,2)*0.01-ROUNDDOWN($E$7*H20/12,2)*Intro!$F$7-ROUND((($E$7*H20/12)*0.01+$H$30)*0.05,2))*0.01-ROUND((($E$7*H20/12)*0.01+$H$30)*0.05,2)</f>
        <v>1394.8734564800002</v>
      </c>
      <c r="J20" s="77">
        <f t="shared" si="1"/>
        <v>1628.8734564800002</v>
      </c>
    </row>
    <row r="21" spans="2:10" ht="19.5" customHeight="1">
      <c r="B21" s="73">
        <v>4</v>
      </c>
      <c r="C21" s="74">
        <f>Indices!C8</f>
        <v>373</v>
      </c>
      <c r="D21" s="75">
        <f>ROUNDDOWN($E$7*C21/12,2)+ROUNDDOWN($E$7*C21/12,2)*0.01-ROUNDDOWN($E$7*C21/12,2)*Intro!$F$7-(ROUNDDOWN($E$7*C21/12,2)+ROUNDDOWN($E$7*C21/12,2)*0.01)*0.97*0.075-(ROUNDDOWN($E$7*C21/12,2)+ROUNDDOWN($E$7*C21/12,2)*0.01)*0.97*0.005-(ROUNDDOWN($E$7*C21/12,2)+ROUNDDOWN($E$7*C21/12,2)*0.01-ROUNDDOWN($E$7*C21/12,2)*Intro!$F$7-ROUND($E$7*C21/12*0.01*0.05,2))*0.01-ROUND((($E$7*C21/12)*0.01)*0.05,2)</f>
        <v>1451.8661742400002</v>
      </c>
      <c r="E21" s="74">
        <f t="shared" si="2"/>
        <v>373</v>
      </c>
      <c r="F21" s="76">
        <f>ROUNDDOWN($E$7*E21/12,2)+ROUNDDOWN($E$7*E21/12,2)*0.01-ROUNDDOWN($E$7*E21/12,2)*Intro!$F$7-(ROUNDDOWN($E$7*E21/12,2)+ROUNDDOWN($E$7*E21/12,2)*0.01+ROUNDDOWN($E$30,2))*0.97*0.075-(ROUNDDOWN($E$7*E21/12,2)+ROUNDDOWN($E$7*E21/12,2)*0.01+ROUNDDOWN($E$30,2))*0.97*0.005-(ROUNDDOWN($E$7*E21/12,2)+ROUNDDOWN($E$7*E21/12,2)*0.01-ROUNDDOWN($E$7*E21/12,2)*Intro!$F$7-ROUND((($E$7*E21/12)*0.01+$E$30)*0.05,2))*0.01-ROUND((($E$7*E21/12)*0.01+$E$30)*0.05,2)</f>
        <v>1428.07305424</v>
      </c>
      <c r="G21" s="76">
        <f t="shared" si="0"/>
        <v>1615.27305424</v>
      </c>
      <c r="H21" s="74">
        <f t="shared" si="3"/>
        <v>373</v>
      </c>
      <c r="I21" s="76">
        <f>ROUNDDOWN($E$7*H21/12,2)+ROUNDDOWN($E$7*H21/12,2)*0.01-ROUNDDOWN($E$7*H21/12,2)*Intro!$F$7-(ROUNDDOWN($E$7*H21/12,2)+ROUNDDOWN($E$7*H21/12,2)*0.01+ROUNDDOWN($H$30,2))*0.97*0.075-(ROUNDDOWN($E$7*H21/12,2)+ROUNDDOWN($E$7*H21/12,2)*0.01+ROUNDDOWN($H$30,2))*0.97*0.005-(ROUNDDOWN($E$7*H21/12,2)+ROUNDDOWN($E$7*H21/12,2)*0.01-ROUNDDOWN($E$7*H21/12,2)*Intro!$F$7-ROUND((($E$7*H21/12)*0.01+$H$30)*0.05,2))*0.01-ROUND((($E$7*H21/12)*0.01+$H$30)*0.05,2)</f>
        <v>1422.12477424</v>
      </c>
      <c r="J21" s="77">
        <f t="shared" si="1"/>
        <v>1656.12477424</v>
      </c>
    </row>
    <row r="22" spans="2:10" ht="19.5" customHeight="1">
      <c r="B22" s="73">
        <v>5</v>
      </c>
      <c r="C22" s="74">
        <f>Indices!C9</f>
        <v>383</v>
      </c>
      <c r="D22" s="75">
        <f>ROUNDDOWN($E$7*C22/12,2)+ROUNDDOWN($E$7*C22/12,2)*0.01-ROUNDDOWN($E$7*C22/12,2)*Intro!$F$7-(ROUNDDOWN($E$7*C22/12,2)+ROUNDDOWN($E$7*C22/12,2)*0.01)*0.97*0.075-(ROUNDDOWN($E$7*C22/12,2)+ROUNDDOWN($E$7*C22/12,2)*0.01)*0.97*0.005-(ROUNDDOWN($E$7*C22/12,2)+ROUNDDOWN($E$7*C22/12,2)*0.01-ROUNDDOWN($E$7*C22/12,2)*Intro!$F$7-ROUND($E$7*C22/12*0.01*0.05,2))*0.01-ROUND((($E$7*C22/12)*0.01)*0.05,2)</f>
        <v>1490.7894823999998</v>
      </c>
      <c r="E22" s="74">
        <f t="shared" si="2"/>
        <v>383</v>
      </c>
      <c r="F22" s="76">
        <f>ROUNDDOWN($E$7*E22/12,2)+ROUNDDOWN($E$7*E22/12,2)*0.01-ROUNDDOWN($E$7*E22/12,2)*Intro!$F$7-(ROUNDDOWN($E$7*E22/12,2)+ROUNDDOWN($E$7*E22/12,2)*0.01+ROUNDDOWN($E$30,2))*0.97*0.075-(ROUNDDOWN($E$7*E22/12,2)+ROUNDDOWN($E$7*E22/12,2)*0.01+ROUNDDOWN($E$30,2))*0.97*0.005-(ROUNDDOWN($E$7*E22/12,2)+ROUNDDOWN($E$7*E22/12,2)*0.01-ROUNDDOWN($E$7*E22/12,2)*Intro!$F$7-ROUND((($E$7*E22/12)*0.01+$E$30)*0.05,2))*0.01-ROUND((($E$7*E22/12)*0.01+$E$30)*0.05,2)</f>
        <v>1466.9963624000002</v>
      </c>
      <c r="G22" s="76">
        <f t="shared" si="0"/>
        <v>1654.1963624000002</v>
      </c>
      <c r="H22" s="74">
        <f t="shared" si="3"/>
        <v>383</v>
      </c>
      <c r="I22" s="76">
        <f>ROUNDDOWN($E$7*H22/12,2)+ROUNDDOWN($E$7*H22/12,2)*0.01-ROUNDDOWN($E$7*H22/12,2)*Intro!$F$7-(ROUNDDOWN($E$7*H22/12,2)+ROUNDDOWN($E$7*H22/12,2)*0.01+ROUNDDOWN($H$30,2))*0.97*0.075-(ROUNDDOWN($E$7*H22/12,2)+ROUNDDOWN($E$7*H22/12,2)*0.01+ROUNDDOWN($H$30,2))*0.97*0.005-(ROUNDDOWN($E$7*H22/12,2)+ROUNDDOWN($E$7*H22/12,2)*0.01-ROUNDDOWN($E$7*H22/12,2)*Intro!$F$7-ROUND((($E$7*H22/12)*0.01+$H$30)*0.05,2))*0.01-ROUND((($E$7*H22/12)*0.01+$H$30)*0.05,2)</f>
        <v>1461.0480823999999</v>
      </c>
      <c r="J22" s="77">
        <f t="shared" si="1"/>
        <v>1695.0480823999999</v>
      </c>
    </row>
    <row r="23" spans="2:10" ht="19.5" customHeight="1">
      <c r="B23" s="73">
        <v>6</v>
      </c>
      <c r="C23" s="74">
        <f>Indices!C10</f>
        <v>390</v>
      </c>
      <c r="D23" s="75">
        <f>ROUNDDOWN($E$7*C23/12,2)+ROUNDDOWN($E$7*C23/12,2)*0.01-ROUNDDOWN($E$7*C23/12,2)*Intro!$F$7-(ROUNDDOWN($E$7*C23/12,2)+ROUNDDOWN($E$7*C23/12,2)*0.01)*0.97*0.075-(ROUNDDOWN($E$7*C23/12,2)+ROUNDDOWN($E$7*C23/12,2)*0.01)*0.97*0.005-(ROUNDDOWN($E$7*C23/12,2)+ROUNDDOWN($E$7*C23/12,2)*0.01-ROUNDDOWN($E$7*C23/12,2)*Intro!$F$7-ROUND($E$7*C23/12*0.01*0.05,2))*0.01-ROUND((($E$7*C23/12)*0.01)*0.05,2)</f>
        <v>1518.04080016</v>
      </c>
      <c r="E23" s="74">
        <f t="shared" si="2"/>
        <v>390</v>
      </c>
      <c r="F23" s="76">
        <f>ROUNDDOWN($E$7*E23/12,2)+ROUNDDOWN($E$7*E23/12,2)*0.01-ROUNDDOWN($E$7*E23/12,2)*Intro!$F$7-(ROUNDDOWN($E$7*E23/12,2)+ROUNDDOWN($E$7*E23/12,2)*0.01+ROUNDDOWN($E$30,2))*0.97*0.075-(ROUNDDOWN($E$7*E23/12,2)+ROUNDDOWN($E$7*E23/12,2)*0.01+ROUNDDOWN($E$30,2))*0.97*0.005-(ROUNDDOWN($E$7*E23/12,2)+ROUNDDOWN($E$7*E23/12,2)*0.01-ROUNDDOWN($E$7*E23/12,2)*Intro!$F$7-ROUND((($E$7*E23/12)*0.01+$E$30)*0.05,2))*0.01-ROUND((($E$7*E23/12)*0.01+$E$30)*0.05,2)</f>
        <v>1494.2476801599998</v>
      </c>
      <c r="G23" s="76">
        <f t="shared" si="0"/>
        <v>1681.44768016</v>
      </c>
      <c r="H23" s="74">
        <f t="shared" si="3"/>
        <v>390</v>
      </c>
      <c r="I23" s="76">
        <f>ROUNDDOWN($E$7*H23/12,2)+ROUNDDOWN($E$7*H23/12,2)*0.01-ROUNDDOWN($E$7*H23/12,2)*Intro!$F$7-(ROUNDDOWN($E$7*H23/12,2)+ROUNDDOWN($E$7*H23/12,2)*0.01+ROUNDDOWN($H$30,2))*0.97*0.075-(ROUNDDOWN($E$7*H23/12,2)+ROUNDDOWN($E$7*H23/12,2)*0.01+ROUNDDOWN($H$30,2))*0.97*0.005-(ROUNDDOWN($E$7*H23/12,2)+ROUNDDOWN($E$7*H23/12,2)*0.01-ROUNDDOWN($E$7*H23/12,2)*Intro!$F$7-ROUND((($E$7*H23/12)*0.01+$H$30)*0.05,2))*0.01-ROUND((($E$7*H23/12)*0.01+$H$30)*0.05,2)</f>
        <v>1488.2994001600002</v>
      </c>
      <c r="J23" s="77">
        <f t="shared" si="1"/>
        <v>1722.2994001600002</v>
      </c>
    </row>
    <row r="24" spans="2:10" ht="19.5" customHeight="1">
      <c r="B24" s="73">
        <v>7</v>
      </c>
      <c r="C24" s="74">
        <f>Indices!C11</f>
        <v>399</v>
      </c>
      <c r="D24" s="75">
        <f>ROUNDDOWN($E$7*C24/12,2)+ROUNDDOWN($E$7*C24/12,2)*0.01-ROUNDDOWN($E$7*C24/12,2)*Intro!$F$7-(ROUNDDOWN($E$7*C24/12,2)+ROUNDDOWN($E$7*C24/12,2)*0.01)*0.97*0.075-(ROUNDDOWN($E$7*C24/12,2)+ROUNDDOWN($E$7*C24/12,2)*0.01)*0.97*0.005-(ROUNDDOWN($E$7*C24/12,2)+ROUNDDOWN($E$7*C24/12,2)*0.01-ROUNDDOWN($E$7*C24/12,2)*Intro!$F$7-ROUND($E$7*C24/12*0.01*0.05,2))*0.01-ROUND((($E$7*C24/12)*0.01)*0.05,2)</f>
        <v>1553.07113728</v>
      </c>
      <c r="E24" s="74">
        <f t="shared" si="2"/>
        <v>399</v>
      </c>
      <c r="F24" s="76">
        <f>ROUNDDOWN($E$7*E24/12,2)+ROUNDDOWN($E$7*E24/12,2)*0.01-ROUNDDOWN($E$7*E24/12,2)*Intro!$F$7-(ROUNDDOWN($E$7*E24/12,2)+ROUNDDOWN($E$7*E24/12,2)*0.01+ROUNDDOWN($E$30,2))*0.97*0.075-(ROUNDDOWN($E$7*E24/12,2)+ROUNDDOWN($E$7*E24/12,2)*0.01+ROUNDDOWN($E$30,2))*0.97*0.005-(ROUNDDOWN($E$7*E24/12,2)+ROUNDDOWN($E$7*E24/12,2)*0.01-ROUNDDOWN($E$7*E24/12,2)*Intro!$F$7-ROUND((($E$7*E24/12)*0.01+$E$30)*0.05,2))*0.01-ROUND((($E$7*E24/12)*0.01+$E$30)*0.05,2)</f>
        <v>1529.2780172799999</v>
      </c>
      <c r="G24" s="76">
        <f t="shared" si="0"/>
        <v>1716.47801728</v>
      </c>
      <c r="H24" s="74">
        <f t="shared" si="3"/>
        <v>399</v>
      </c>
      <c r="I24" s="76">
        <f>ROUNDDOWN($E$7*H24/12,2)+ROUNDDOWN($E$7*H24/12,2)*0.01-ROUNDDOWN($E$7*H24/12,2)*Intro!$F$7-(ROUNDDOWN($E$7*H24/12,2)+ROUNDDOWN($E$7*H24/12,2)*0.01+ROUNDDOWN($H$30,2))*0.97*0.075-(ROUNDDOWN($E$7*H24/12,2)+ROUNDDOWN($E$7*H24/12,2)*0.01+ROUNDDOWN($H$30,2))*0.97*0.005-(ROUNDDOWN($E$7*H24/12,2)+ROUNDDOWN($E$7*H24/12,2)*0.01-ROUNDDOWN($E$7*H24/12,2)*Intro!$F$7-ROUND((($E$7*H24/12)*0.01+$H$30)*0.05,2))*0.01-ROUND((($E$7*H24/12)*0.01+$H$30)*0.05,2)</f>
        <v>1523.32973728</v>
      </c>
      <c r="J24" s="77">
        <f t="shared" si="1"/>
        <v>1757.32973728</v>
      </c>
    </row>
    <row r="25" spans="2:10" ht="19.5" customHeight="1">
      <c r="B25" s="73">
        <v>8</v>
      </c>
      <c r="C25" s="74">
        <f>Indices!C12</f>
        <v>420</v>
      </c>
      <c r="D25" s="75">
        <f>ROUNDDOWN($E$7*C25/12,2)+ROUNDDOWN($E$7*C25/12,2)*0.01-ROUNDDOWN($E$7*C25/12,2)*Intro!$F$7-(ROUNDDOWN($E$7*C25/12,2)+ROUNDDOWN($E$7*C25/12,2)*0.01)*0.97*0.075-(ROUNDDOWN($E$7*C25/12,2)+ROUNDDOWN($E$7*C25/12,2)*0.01)*0.97*0.005-(ROUNDDOWN($E$7*C25/12,2)+ROUNDDOWN($E$7*C25/12,2)*0.01-ROUNDDOWN($E$7*C25/12,2)*Intro!$F$7-ROUND($E$7*C25/12*0.01*0.05,2))*0.01-ROUND((($E$7*C25/12)*0.01)*0.05,2)</f>
        <v>1634.81370192</v>
      </c>
      <c r="E25" s="74">
        <f t="shared" si="2"/>
        <v>420</v>
      </c>
      <c r="F25" s="76">
        <f>ROUNDDOWN($E$7*E25/12,2)+ROUNDDOWN($E$7*E25/12,2)*0.01-ROUNDDOWN($E$7*E25/12,2)*Intro!$F$7-(ROUNDDOWN($E$7*E25/12,2)+ROUNDDOWN($E$7*E25/12,2)*0.01+ROUNDDOWN($E$30,2))*0.97*0.075-(ROUNDDOWN($E$7*E25/12,2)+ROUNDDOWN($E$7*E25/12,2)*0.01+ROUNDDOWN($E$30,2))*0.97*0.005-(ROUNDDOWN($E$7*E25/12,2)+ROUNDDOWN($E$7*E25/12,2)*0.01-ROUNDDOWN($E$7*E25/12,2)*Intro!$F$7-ROUND((($E$7*E25/12)*0.01+$E$30)*0.05,2))*0.01-ROUND((($E$7*E25/12)*0.01+$E$30)*0.05,2)</f>
        <v>1611.02058192</v>
      </c>
      <c r="G25" s="76">
        <f t="shared" si="0"/>
        <v>1798.22058192</v>
      </c>
      <c r="H25" s="74">
        <f t="shared" si="3"/>
        <v>420</v>
      </c>
      <c r="I25" s="76">
        <f>ROUNDDOWN($E$7*H25/12,2)+ROUNDDOWN($E$7*H25/12,2)*0.01-ROUNDDOWN($E$7*H25/12,2)*Intro!$F$7-(ROUNDDOWN($E$7*H25/12,2)+ROUNDDOWN($E$7*H25/12,2)*0.01+ROUNDDOWN($H$30,2))*0.97*0.075-(ROUNDDOWN($E$7*H25/12,2)+ROUNDDOWN($E$7*H25/12,2)*0.01+ROUNDDOWN($H$30,2))*0.97*0.005-(ROUNDDOWN($E$7*H25/12,2)+ROUNDDOWN($E$7*H25/12,2)*0.01-ROUNDDOWN($E$7*H25/12,2)*Intro!$F$7-ROUND((($E$7*H25/12)*0.01+$H$30)*0.05,2))*0.01-ROUND((($E$7*H25/12)*0.01+$H$30)*0.05,2)</f>
        <v>1605.07230192</v>
      </c>
      <c r="J25" s="77">
        <f t="shared" si="1"/>
        <v>1839.07230192</v>
      </c>
    </row>
    <row r="26" spans="2:10" ht="19.5" customHeight="1">
      <c r="B26" s="73">
        <v>9</v>
      </c>
      <c r="C26" s="74">
        <f>Indices!C13</f>
        <v>441</v>
      </c>
      <c r="D26" s="75">
        <f>ROUNDDOWN($E$7*C26/12,2)+ROUNDDOWN($E$7*C26/12,2)*0.01-ROUNDDOWN($E$7*C26/12,2)*Intro!$F$7-(ROUNDDOWN($E$7*C26/12,2)+ROUNDDOWN($E$7*C26/12,2)*0.01)*0.97*0.075-(ROUNDDOWN($E$7*C26/12,2)+ROUNDDOWN($E$7*C26/12,2)*0.01)*0.97*0.005-(ROUNDDOWN($E$7*C26/12,2)+ROUNDDOWN($E$7*C26/12,2)*0.01-ROUNDDOWN($E$7*C26/12,2)*Intro!$F$7-ROUND($E$7*C26/12*0.01*0.05,2))*0.01-ROUND((($E$7*C26/12)*0.01)*0.05,2)</f>
        <v>1716.5478552</v>
      </c>
      <c r="E26" s="74">
        <f t="shared" si="2"/>
        <v>441</v>
      </c>
      <c r="F26" s="76">
        <f>ROUNDDOWN($E$7*E26/12,2)+ROUNDDOWN($E$7*E26/12,2)*0.01-ROUNDDOWN($E$7*E26/12,2)*Intro!$F$7-(ROUNDDOWN($E$7*E26/12,2)+ROUNDDOWN($E$7*E26/12,2)*0.01+ROUNDDOWN($E$30,2))*0.97*0.075-(ROUNDDOWN($E$7*E26/12,2)+ROUNDDOWN($E$7*E26/12,2)*0.01+ROUNDDOWN($E$30,2))*0.97*0.005-(ROUNDDOWN($E$7*E26/12,2)+ROUNDDOWN($E$7*E26/12,2)*0.01-ROUNDDOWN($E$7*E26/12,2)*Intro!$F$7-ROUND((($E$7*E26/12)*0.01+$E$30)*0.05,2))*0.01-ROUND((($E$7*E26/12)*0.01+$E$30)*0.05,2)</f>
        <v>1692.7547352000001</v>
      </c>
      <c r="G26" s="76">
        <f t="shared" si="0"/>
        <v>1879.9547352000002</v>
      </c>
      <c r="H26" s="74">
        <f t="shared" si="3"/>
        <v>441</v>
      </c>
      <c r="I26" s="76">
        <f>ROUNDDOWN($E$7*H26/12,2)+ROUNDDOWN($E$7*H26/12,2)*0.01-ROUNDDOWN($E$7*H26/12,2)*Intro!$F$7-(ROUNDDOWN($E$7*H26/12,2)+ROUNDDOWN($E$7*H26/12,2)*0.01+ROUNDDOWN($H$30,2))*0.97*0.075-(ROUNDDOWN($E$7*H26/12,2)+ROUNDDOWN($E$7*H26/12,2)*0.01+ROUNDDOWN($H$30,2))*0.97*0.005-(ROUNDDOWN($E$7*H26/12,2)+ROUNDDOWN($E$7*H26/12,2)*0.01-ROUNDDOWN($E$7*H26/12,2)*Intro!$F$7-ROUND((($E$7*H26/12)*0.01+$H$30)*0.05,2))*0.01-ROUND((($E$7*H26/12)*0.01+$H$30)*0.05,2)</f>
        <v>1686.8064552000003</v>
      </c>
      <c r="J26" s="77">
        <f t="shared" si="1"/>
        <v>1920.8064552000003</v>
      </c>
    </row>
    <row r="27" spans="2:10" ht="19.5" customHeight="1">
      <c r="B27" s="73">
        <v>10</v>
      </c>
      <c r="C27" s="74">
        <f>Indices!C14</f>
        <v>469</v>
      </c>
      <c r="D27" s="75">
        <f>ROUNDDOWN($E$7*C27/12,2)+ROUNDDOWN($E$7*C27/12,2)*0.01-ROUNDDOWN($E$7*C27/12,2)*Intro!$F$7-(ROUNDDOWN($E$7*C27/12,2)+ROUNDDOWN($E$7*C27/12,2)*0.01)*0.97*0.075-(ROUNDDOWN($E$7*C27/12,2)+ROUNDDOWN($E$7*C27/12,2)*0.01)*0.97*0.005-(ROUNDDOWN($E$7*C27/12,2)+ROUNDDOWN($E$7*C27/12,2)*0.01-ROUNDDOWN($E$7*C27/12,2)*Intro!$F$7-ROUND($E$7*C27/12*0.01*0.05,2))*0.01-ROUND((($E$7*C27/12)*0.01)*0.05,2)</f>
        <v>1825.5318375999998</v>
      </c>
      <c r="E27" s="74">
        <f t="shared" si="2"/>
        <v>469</v>
      </c>
      <c r="F27" s="76">
        <f>ROUNDDOWN($E$7*E27/12,2)+ROUNDDOWN($E$7*E27/12,2)*0.01-ROUNDDOWN($E$7*E27/12,2)*Intro!$F$7-(ROUNDDOWN($E$7*E27/12,2)+ROUNDDOWN($E$7*E27/12,2)*0.01+ROUNDDOWN($E$30,2))*0.97*0.075-(ROUNDDOWN($E$7*E27/12,2)+ROUNDDOWN($E$7*E27/12,2)*0.01+ROUNDDOWN($E$30,2))*0.97*0.005-(ROUNDDOWN($E$7*E27/12,2)+ROUNDDOWN($E$7*E27/12,2)*0.01-ROUNDDOWN($E$7*E27/12,2)*Intro!$F$7-ROUND((($E$7*E27/12)*0.01+$E$30)*0.05,2))*0.01-ROUND((($E$7*E27/12)*0.01+$E$30)*0.05,2)</f>
        <v>1801.7387175999997</v>
      </c>
      <c r="G27" s="76">
        <f t="shared" si="0"/>
        <v>1988.9387175999998</v>
      </c>
      <c r="H27" s="74">
        <f t="shared" si="3"/>
        <v>469</v>
      </c>
      <c r="I27" s="76">
        <f>ROUNDDOWN($E$7*H27/12,2)+ROUNDDOWN($E$7*H27/12,2)*0.01-ROUNDDOWN($E$7*H27/12,2)*Intro!$F$7-(ROUNDDOWN($E$7*H27/12,2)+ROUNDDOWN($E$7*H27/12,2)*0.01+ROUNDDOWN($H$30,2))*0.97*0.075-(ROUNDDOWN($E$7*H27/12,2)+ROUNDDOWN($E$7*H27/12,2)*0.01+ROUNDDOWN($H$30,2))*0.97*0.005-(ROUNDDOWN($E$7*H27/12,2)+ROUNDDOWN($E$7*H27/12,2)*0.01-ROUNDDOWN($E$7*H27/12,2)*Intro!$F$7-ROUND((($E$7*H27/12)*0.01+$H$30)*0.05,2))*0.01-ROUND((($E$7*H27/12)*0.01+$H$30)*0.05,2)</f>
        <v>1795.7904375999997</v>
      </c>
      <c r="J27" s="77">
        <f t="shared" si="1"/>
        <v>2029.7904375999997</v>
      </c>
    </row>
    <row r="28" spans="2:10" ht="19.5" customHeight="1" thickBot="1">
      <c r="B28" s="78">
        <v>11</v>
      </c>
      <c r="C28" s="79">
        <f>Indices!C15</f>
        <v>515</v>
      </c>
      <c r="D28" s="80">
        <f>ROUNDDOWN($E$7*C28/12,2)+ROUNDDOWN($E$7*C28/12,2)*0.01-ROUNDDOWN($E$7*C28/12,2)*Intro!$F$7-(ROUNDDOWN($E$7*C28/12,2)+ROUNDDOWN($E$7*C28/12,2)*0.01)*0.97*0.075-(ROUNDDOWN($E$7*C28/12,2)+ROUNDDOWN($E$7*C28/12,2)*0.01)*0.97*0.005-(ROUNDDOWN($E$7*C28/12,2)+ROUNDDOWN($E$7*C28/12,2)*0.01-ROUNDDOWN($E$7*C28/12,2)*Intro!$F$7-ROUND($E$7*C28/12*0.01*0.05,2))*0.01-ROUND((($E$7*C28/12)*0.01)*0.05,2)</f>
        <v>2004.5948056</v>
      </c>
      <c r="E28" s="79">
        <f t="shared" si="2"/>
        <v>515</v>
      </c>
      <c r="F28" s="81">
        <f>ROUNDDOWN($E$7*E28/12,2)+ROUNDDOWN($E$7*E28/12,2)*0.01-ROUNDDOWN($E$7*E28/12,2)*Intro!$F$7-(ROUNDDOWN($E$7*E28/12,2)+ROUNDDOWN($E$7*E28/12,2)*0.01+ROUNDDOWN($E$30,2))*0.97*0.075-(ROUNDDOWN($E$7*E28/12,2)+ROUNDDOWN($E$7*E28/12,2)*0.01+ROUNDDOWN($E$30,2))*0.97*0.005-(ROUNDDOWN($E$7*E28/12,2)+ROUNDDOWN($E$7*E28/12,2)*0.01-ROUNDDOWN($E$7*E28/12,2)*Intro!$F$7-ROUND((($E$7*E28/12)*0.01+$E$30)*0.05,2))*0.01-ROUND((($E$7*E28/12)*0.01+$E$30)*0.05,2)</f>
        <v>1980.8016856000002</v>
      </c>
      <c r="G28" s="81">
        <f t="shared" si="0"/>
        <v>2168.0016856</v>
      </c>
      <c r="H28" s="79">
        <f t="shared" si="3"/>
        <v>515</v>
      </c>
      <c r="I28" s="81">
        <f>ROUNDDOWN($E$7*H28/12,2)+ROUNDDOWN($E$7*H28/12,2)*0.01-ROUNDDOWN($E$7*H28/12,2)*Intro!$F$7-(ROUNDDOWN($E$7*H28/12,2)+ROUNDDOWN($E$7*H28/12,2)*0.01+ROUNDDOWN($H$30,2))*0.97*0.075-(ROUNDDOWN($E$7*H28/12,2)+ROUNDDOWN($E$7*H28/12,2)*0.01+ROUNDDOWN($H$30,2))*0.97*0.005-(ROUNDDOWN($E$7*H28/12,2)+ROUNDDOWN($E$7*H28/12,2)*0.01-ROUNDDOWN($E$7*H28/12,2)*Intro!$F$7-ROUND((($E$7*H28/12)*0.01+$H$30)*0.05,2))*0.01-ROUND((($E$7*H28/12)*0.01+$H$30)*0.05,2)</f>
        <v>1974.8534056</v>
      </c>
      <c r="J28" s="82">
        <f t="shared" si="1"/>
        <v>2208.8534056</v>
      </c>
    </row>
    <row r="29" spans="3:11" ht="19.5" customHeight="1" thickBot="1" thickTop="1">
      <c r="C29" s="83"/>
      <c r="D29" s="83"/>
      <c r="E29" s="83"/>
      <c r="F29" s="186" t="s">
        <v>10</v>
      </c>
      <c r="G29" s="186"/>
      <c r="H29" s="186"/>
      <c r="I29" s="186"/>
      <c r="J29" s="186"/>
      <c r="K29" s="186"/>
    </row>
    <row r="30" spans="2:11" s="86" customFormat="1" ht="27.75" customHeight="1" thickBot="1" thickTop="1">
      <c r="B30" s="84" t="s">
        <v>9</v>
      </c>
      <c r="C30" s="189">
        <f>Intro!H4</f>
        <v>38717</v>
      </c>
      <c r="D30" s="190"/>
      <c r="E30" s="174">
        <f>Intro!C4</f>
        <v>187.2</v>
      </c>
      <c r="F30" s="185"/>
      <c r="G30" s="175"/>
      <c r="H30" s="174">
        <f>Intro!F4</f>
        <v>234</v>
      </c>
      <c r="I30" s="185"/>
      <c r="J30" s="175"/>
      <c r="K30" s="85"/>
    </row>
    <row r="31" spans="3:11" s="86" customFormat="1" ht="39.75" customHeight="1" thickBot="1" thickTop="1">
      <c r="C31" s="87"/>
      <c r="D31" s="87"/>
      <c r="E31" s="88"/>
      <c r="F31" s="89"/>
      <c r="G31" s="89"/>
      <c r="H31" s="90"/>
      <c r="I31" s="91"/>
      <c r="J31" s="91"/>
      <c r="K31" s="91"/>
    </row>
    <row r="32" spans="3:12" ht="19.5" customHeight="1" thickBot="1" thickTop="1">
      <c r="C32" s="177" t="s">
        <v>17</v>
      </c>
      <c r="D32" s="179"/>
      <c r="E32" s="85"/>
      <c r="H32" s="86"/>
      <c r="K32" s="108"/>
      <c r="L32" s="108"/>
    </row>
    <row r="33" spans="2:13" s="58" customFormat="1" ht="19.5" customHeight="1" thickTop="1">
      <c r="B33" s="148" t="s">
        <v>13</v>
      </c>
      <c r="C33" s="152" t="s">
        <v>14</v>
      </c>
      <c r="D33" s="167" t="s">
        <v>15</v>
      </c>
      <c r="H33" s="92"/>
      <c r="K33" s="109"/>
      <c r="L33" s="109"/>
      <c r="M33" s="109"/>
    </row>
    <row r="34" spans="2:4" s="93" customFormat="1" ht="19.5" customHeight="1" thickBot="1">
      <c r="B34" s="149"/>
      <c r="C34" s="212"/>
      <c r="D34" s="213"/>
    </row>
    <row r="35" spans="2:13" s="93" customFormat="1" ht="19.5" customHeight="1" thickTop="1">
      <c r="B35" s="215">
        <v>1</v>
      </c>
      <c r="C35" s="207" t="s">
        <v>57</v>
      </c>
      <c r="D35" s="207"/>
      <c r="E35" s="207"/>
      <c r="F35" s="208"/>
      <c r="K35" s="109"/>
      <c r="L35" s="109"/>
      <c r="M35" s="109"/>
    </row>
    <row r="36" spans="2:6" s="93" customFormat="1" ht="19.5" customHeight="1" thickBot="1">
      <c r="B36" s="216">
        <v>2</v>
      </c>
      <c r="C36" s="209"/>
      <c r="D36" s="209"/>
      <c r="E36" s="210"/>
      <c r="F36" s="211"/>
    </row>
    <row r="37" spans="2:11" s="58" customFormat="1" ht="19.5" customHeight="1" thickTop="1">
      <c r="B37" s="73">
        <v>3</v>
      </c>
      <c r="C37" s="68">
        <f>Indices!F7</f>
        <v>410</v>
      </c>
      <c r="D37" s="214">
        <f>ROUNDDOWN($E$7*C37/12,2)+ROUNDDOWN($E$7*C37/12,2)*0.01-ROUNDDOWN($E$7*C37/12,2)*Intro!$F$7-(ROUNDDOWN($E$7*C37/12,2)+ROUNDDOWN($E$7*C37/12,2)*0.01)*0.97*0.075-(ROUNDDOWN($E$7*C37/12,2)+ROUNDDOWN($E$7*C37/12,2)*0.01)*0.97*0.005-(ROUNDDOWN($E$7*C37/12,2)+ROUNDDOWN($E$7*C37/12,2)*0.01-ROUNDDOWN($E$7*C37/12,2)*Intro!$F$7-ROUND($E$7*C37/12*0.01*0.05,2))*0.01-ROUND((($E$7*C37/12)*0.01)*0.05,2)</f>
        <v>1595.8804937599996</v>
      </c>
      <c r="E37" s="217" t="s">
        <v>45</v>
      </c>
      <c r="F37" s="181"/>
      <c r="G37" s="182"/>
      <c r="H37" s="96" t="s">
        <v>16</v>
      </c>
      <c r="I37" s="114"/>
      <c r="J37" s="114"/>
      <c r="K37" s="114"/>
    </row>
    <row r="38" spans="2:11" ht="19.5" customHeight="1" thickBot="1">
      <c r="B38" s="73">
        <v>4</v>
      </c>
      <c r="C38" s="74">
        <f>Indices!F8</f>
        <v>431</v>
      </c>
      <c r="D38" s="95">
        <f>ROUNDDOWN($E$7*C38/12,2)+ROUNDDOWN($E$7*C38/12,2)*0.01-ROUNDDOWN($E$7*C38/12,2)*Intro!$F$7-(ROUNDDOWN($E$7*C38/12,2)+ROUNDDOWN($E$7*C38/12,2)*0.01)*0.97*0.075-(ROUNDDOWN($E$7*C38/12,2)+ROUNDDOWN($E$7*C38/12,2)*0.01)*0.97*0.005-(ROUNDDOWN($E$7*C38/12,2)+ROUNDDOWN($E$7*C38/12,2)*0.01-ROUNDDOWN($E$7*C38/12,2)*Intro!$F$7-ROUND($E$7*C38/12*0.01*0.05,2))*0.01-ROUND((($E$7*C38/12)*0.01)*0.05,2)</f>
        <v>1677.6230584000002</v>
      </c>
      <c r="E38" s="218"/>
      <c r="F38" s="183"/>
      <c r="G38" s="184"/>
      <c r="H38" s="115" t="s">
        <v>42</v>
      </c>
      <c r="I38" s="101"/>
      <c r="J38" s="101"/>
      <c r="K38" s="101"/>
    </row>
    <row r="39" spans="2:11" ht="19.5" customHeight="1" thickTop="1">
      <c r="B39" s="73">
        <v>5</v>
      </c>
      <c r="C39" s="74">
        <f>Indices!F9</f>
        <v>453</v>
      </c>
      <c r="D39" s="95">
        <f>ROUNDDOWN($E$7*C39/12,2)+ROUNDDOWN($E$7*C39/12,2)*0.01-ROUNDDOWN($E$7*C39/12,2)*Intro!$F$7-(ROUNDDOWN($E$7*C39/12,2)+ROUNDDOWN($E$7*C39/12,2)*0.01)*0.97*0.075-(ROUNDDOWN($E$7*C39/12,2)+ROUNDDOWN($E$7*C39/12,2)*0.01)*0.97*0.005-(ROUNDDOWN($E$7*C39/12,2)+ROUNDDOWN($E$7*C39/12,2)*0.01-ROUNDDOWN($E$7*C39/12,2)*Intro!$F$7-ROUND($E$7*C39/12*0.01*0.05,2))*0.01-ROUND((($E$7*C39/12)*0.01)*0.05,2)</f>
        <v>1763.26008272</v>
      </c>
      <c r="E39" s="150" t="s">
        <v>13</v>
      </c>
      <c r="F39" s="154" t="s">
        <v>14</v>
      </c>
      <c r="G39" s="167" t="s">
        <v>15</v>
      </c>
      <c r="H39" s="146" t="s">
        <v>49</v>
      </c>
      <c r="I39" s="147"/>
      <c r="J39" s="147"/>
      <c r="K39" s="147"/>
    </row>
    <row r="40" spans="2:11" ht="19.5" customHeight="1" thickBot="1">
      <c r="B40" s="73">
        <v>6</v>
      </c>
      <c r="C40" s="74">
        <f>Indices!F10</f>
        <v>467</v>
      </c>
      <c r="D40" s="95">
        <f>ROUNDDOWN($E$7*C40/12,2)+ROUNDDOWN($E$7*C40/12,2)*0.01-ROUNDDOWN($E$7*C40/12,2)*Intro!$F$7-(ROUNDDOWN($E$7*C40/12,2)+ROUNDDOWN($E$7*C40/12,2)*0.01)*0.97*0.075-(ROUNDDOWN($E$7*C40/12,2)+ROUNDDOWN($E$7*C40/12,2)*0.01)*0.97*0.005-(ROUNDDOWN($E$7*C40/12,2)+ROUNDDOWN($E$7*C40/12,2)*0.01-ROUNDDOWN($E$7*C40/12,2)*Intro!$F$7-ROUND($E$7*C40/12*0.01*0.05,2))*0.01-ROUND((($E$7*C40/12)*0.01)*0.05,2)</f>
        <v>1817.7528182400001</v>
      </c>
      <c r="E40" s="151"/>
      <c r="F40" s="126"/>
      <c r="G40" s="168"/>
      <c r="H40" s="146"/>
      <c r="I40" s="147"/>
      <c r="J40" s="147"/>
      <c r="K40" s="147"/>
    </row>
    <row r="41" spans="2:11" ht="19.5" customHeight="1" thickTop="1">
      <c r="B41" s="73">
        <v>7</v>
      </c>
      <c r="C41" s="74">
        <f>Indices!F11</f>
        <v>495</v>
      </c>
      <c r="D41" s="95">
        <f>ROUNDDOWN($E$7*C41/12,2)+ROUNDDOWN($E$7*C41/12,2)*0.01-ROUNDDOWN($E$7*C41/12,2)*Intro!$F$7-(ROUNDDOWN($E$7*C41/12,2)+ROUNDDOWN($E$7*C41/12,2)*0.01)*0.97*0.075-(ROUNDDOWN($E$7*C41/12,2)+ROUNDDOWN($E$7*C41/12,2)*0.01)*0.97*0.005-(ROUNDDOWN($E$7*C41/12,2)+ROUNDDOWN($E$7*C41/12,2)*0.01-ROUNDDOWN($E$7*C41/12,2)*Intro!$F$7-ROUND($E$7*C41/12*0.01*0.05,2))*0.01-ROUND((($E$7*C41/12)*0.01)*0.05,2)</f>
        <v>1926.73680064</v>
      </c>
      <c r="E41" s="97">
        <v>1</v>
      </c>
      <c r="F41" s="98">
        <f>Indices!I5</f>
        <v>495</v>
      </c>
      <c r="G41" s="94">
        <f>ROUNDDOWN($E$7*F41/12,2)+ROUNDDOWN($E$7*F41/12,2)*0.01-ROUNDDOWN($E$7*F41/12,2)*Intro!$F$7-(ROUNDDOWN($E$7*F41/12,2)+ROUNDDOWN($E$7*F41/12,2)*0.01)*0.97*0.075-(ROUNDDOWN($E$7*F41/12,2)+ROUNDDOWN($E$7*F41/12,2)*0.01)*0.97*0.005-(ROUNDDOWN($E$7*F41/12,2)+ROUNDDOWN($E$7*F41/12,2)*0.01-ROUNDDOWN($E$7*F41/12,2)*Intro!$F$7-ROUND($E$7*F41/12*0.01*0.05,2))*0.01-ROUND((($E$7*F41/12)*0.01)*0.05,2)</f>
        <v>1926.73680064</v>
      </c>
      <c r="H41" s="115" t="s">
        <v>43</v>
      </c>
      <c r="I41" s="116"/>
      <c r="J41" s="116"/>
      <c r="K41" s="101"/>
    </row>
    <row r="42" spans="2:11" ht="19.5" customHeight="1">
      <c r="B42" s="73">
        <v>8</v>
      </c>
      <c r="C42" s="74">
        <f>Indices!F12</f>
        <v>531</v>
      </c>
      <c r="D42" s="95">
        <f>ROUNDDOWN($E$7*C42/12,2)+ROUNDDOWN($E$7*C42/12,2)*0.01-ROUNDDOWN($E$7*C42/12,2)*Intro!$F$7-(ROUNDDOWN($E$7*C42/12,2)+ROUNDDOWN($E$7*C42/12,2)*0.01)*0.97*0.075-(ROUNDDOWN($E$7*C42/12,2)+ROUNDDOWN($E$7*C42/12,2)*0.01)*0.97*0.005-(ROUNDDOWN($E$7*C42/12,2)+ROUNDDOWN($E$7*C42/12,2)*0.01-ROUNDDOWN($E$7*C42/12,2)*Intro!$F$7-ROUND($E$7*C42/12*0.01*0.05,2))*0.01-ROUND((($E$7*C42/12)*0.01)*0.05,2)</f>
        <v>2066.86656048</v>
      </c>
      <c r="E42" s="99">
        <v>2</v>
      </c>
      <c r="F42" s="100">
        <f>Indices!I6</f>
        <v>560</v>
      </c>
      <c r="G42" s="95">
        <f>ROUNDDOWN($E$7*F42/12,2)+ROUNDDOWN($E$7*F42/12,2)*0.01-ROUNDDOWN($E$7*F42/12,2)*Intro!$F$7-(ROUNDDOWN($E$7*F42/12,2)+ROUNDDOWN($E$7*F42/12,2)*0.01)*0.97*0.075-(ROUNDDOWN($E$7*F42/12,2)+ROUNDDOWN($E$7*F42/12,2)*0.01)*0.97*0.005-(ROUNDDOWN($E$7*F42/12,2)+ROUNDDOWN($E$7*F42/12,2)*0.01-ROUNDDOWN($E$7*F42/12,2)*Intro!$F$7-ROUND($E$7*F42/12*0.01*0.05,2))*0.01-ROUND((($E$7*F42/12)*0.01)*0.05,2)</f>
        <v>2179.74500256</v>
      </c>
      <c r="H42" s="115" t="s">
        <v>44</v>
      </c>
      <c r="I42" s="101"/>
      <c r="J42" s="101"/>
      <c r="K42" s="101"/>
    </row>
    <row r="43" spans="2:11" ht="19.5" customHeight="1">
      <c r="B43" s="73">
        <v>9</v>
      </c>
      <c r="C43" s="74">
        <f>Indices!F13</f>
        <v>567</v>
      </c>
      <c r="D43" s="95">
        <f>ROUNDDOWN($E$7*C43/12,2)+ROUNDDOWN($E$7*C43/12,2)*0.01-ROUNDDOWN($E$7*C43/12,2)*Intro!$F$7-(ROUNDDOWN($E$7*C43/12,2)+ROUNDDOWN($E$7*C43/12,2)*0.01)*0.97*0.075-(ROUNDDOWN($E$7*C43/12,2)+ROUNDDOWN($E$7*C43/12,2)*0.01)*0.97*0.005-(ROUNDDOWN($E$7*C43/12,2)+ROUNDDOWN($E$7*C43/12,2)*0.01-ROUNDDOWN($E$7*C43/12,2)*Intro!$F$7-ROUND($E$7*C43/12*0.01*0.05,2))*0.01-ROUND((($E$7*C43/12)*0.01)*0.05,2)</f>
        <v>2206.99632032</v>
      </c>
      <c r="E43" s="99">
        <v>3</v>
      </c>
      <c r="F43" s="100">
        <f>Indices!I7</f>
        <v>601</v>
      </c>
      <c r="G43" s="95">
        <f>ROUNDDOWN($E$7*F43/12,2)+ROUNDDOWN($E$7*F43/12,2)*0.01-ROUNDDOWN($E$7*F43/12,2)*Intro!$F$7-(ROUNDDOWN($E$7*F43/12,2)+ROUNDDOWN($E$7*F43/12,2)*0.01)*0.97*0.075-(ROUNDDOWN($E$7*F43/12,2)+ROUNDDOWN($E$7*F43/12,2)*0.01)*0.97*0.005-(ROUNDDOWN($E$7*F43/12,2)+ROUNDDOWN($E$7*F43/12,2)*0.01-ROUNDDOWN($E$7*F43/12,2)*Intro!$F$7-ROUND($E$7*F43/12*0.01*0.05,2))*0.01-ROUND((($E$7*F43/12)*0.01)*0.05,2)</f>
        <v>2339.3371608</v>
      </c>
      <c r="H43" s="146" t="s">
        <v>46</v>
      </c>
      <c r="I43" s="147"/>
      <c r="J43" s="147"/>
      <c r="K43" s="147"/>
    </row>
    <row r="44" spans="2:11" ht="19.5" customHeight="1">
      <c r="B44" s="73">
        <v>10</v>
      </c>
      <c r="C44" s="74">
        <f>Indices!F14</f>
        <v>612</v>
      </c>
      <c r="D44" s="95">
        <f>ROUNDDOWN($E$7*C44/12,2)+ROUNDDOWN($E$7*C44/12,2)*0.01-ROUNDDOWN($E$7*C44/12,2)*Intro!$F$7-(ROUNDDOWN($E$7*C44/12,2)+ROUNDDOWN($E$7*C44/12,2)*0.01)*0.97*0.075-(ROUNDDOWN($E$7*C44/12,2)+ROUNDDOWN($E$7*C44/12,2)*0.01)*0.97*0.005-(ROUNDDOWN($E$7*C44/12,2)+ROUNDDOWN($E$7*C44/12,2)*0.01-ROUNDDOWN($E$7*C44/12,2)*Intro!$F$7-ROUND($E$7*C44/12*0.01*0.05,2))*0.01-ROUND((($E$7*C44/12)*0.01)*0.05,2)</f>
        <v>2382.14651728</v>
      </c>
      <c r="E44" s="99">
        <v>4</v>
      </c>
      <c r="F44" s="100">
        <f>Indices!I8</f>
        <v>642</v>
      </c>
      <c r="G44" s="95">
        <f>ROUNDDOWN($E$7*F44/12,2)+ROUNDDOWN($E$7*F44/12,2)*0.01-ROUNDDOWN($E$7*F44/12,2)*Intro!$F$7-(ROUNDDOWN($E$7*F44/12,2)+ROUNDDOWN($E$7*F44/12,2)*0.01)*0.97*0.075-(ROUNDDOWN($E$7*F44/12,2)+ROUNDDOWN($E$7*F44/12,2)*0.01)*0.97*0.005-(ROUNDDOWN($E$7*F44/12,2)+ROUNDDOWN($E$7*F44/12,2)*0.01-ROUNDDOWN($E$7*F44/12,2)*Intro!$F$7-ROUND($E$7*F44/12*0.01*0.05,2))*0.01-ROUND((($E$7*F44/12)*0.01)*0.05,2)</f>
        <v>2498.9194190400003</v>
      </c>
      <c r="H44" s="146"/>
      <c r="I44" s="147"/>
      <c r="J44" s="147"/>
      <c r="K44" s="147"/>
    </row>
    <row r="45" spans="2:8" ht="19.5" customHeight="1" thickBot="1">
      <c r="B45" s="78">
        <v>11</v>
      </c>
      <c r="C45" s="79">
        <f>Indices!F15</f>
        <v>658</v>
      </c>
      <c r="D45" s="102">
        <f>ROUNDDOWN($E$7*C45/12,2)+ROUNDDOWN($E$7*C45/12,2)*0.01-ROUNDDOWN($E$7*C45/12,2)*Intro!$F$7-(ROUNDDOWN($E$7*C45/12,2)+ROUNDDOWN($E$7*C45/12,2)*0.01)*0.97*0.075-(ROUNDDOWN($E$7*C45/12,2)+ROUNDDOWN($E$7*C45/12,2)*0.01)*0.97*0.005-(ROUNDDOWN($E$7*C45/12,2)+ROUNDDOWN($E$7*C45/12,2)*0.01-ROUNDDOWN($E$7*C45/12,2)*Intro!$F$7-ROUND($E$7*C45/12*0.01*0.05,2))*0.01-ROUND((($E$7*C45/12)*0.01)*0.05,2)</f>
        <v>2561.2094852799996</v>
      </c>
      <c r="E45" s="99">
        <v>5</v>
      </c>
      <c r="F45" s="100">
        <f>Indices!I9</f>
        <v>695</v>
      </c>
      <c r="G45" s="95">
        <f>ROUNDDOWN($E$7*F45/12,2)+ROUNDDOWN($E$7*F45/12,2)*0.01-ROUNDDOWN($E$7*F45/12,2)*Intro!$F$7-(ROUNDDOWN($E$7*F45/12,2)+ROUNDDOWN($E$7*F45/12,2)*0.01)*0.97*0.075-(ROUNDDOWN($E$7*F45/12,2)+ROUNDDOWN($E$7*F45/12,2)*0.01)*0.97*0.005-(ROUNDDOWN($E$7*F45/12,2)+ROUNDDOWN($E$7*F45/12,2)*0.01-ROUNDDOWN($E$7*F45/12,2)*Intro!$F$7-ROUND($E$7*F45/12*0.01*0.05,2))*0.01-ROUND((($E$7*F45/12)*0.01)*0.05,2)</f>
        <v>2705.2238048000004</v>
      </c>
      <c r="H45" s="110"/>
    </row>
    <row r="46" spans="5:8" ht="19.5" customHeight="1" thickTop="1">
      <c r="E46" s="73">
        <v>6</v>
      </c>
      <c r="F46" s="100">
        <f>Indices!I10</f>
        <v>741</v>
      </c>
      <c r="G46" s="95">
        <f>ROUNDDOWN($E$7*F46/12,2)+ROUNDDOWN($E$7*F46/12,2)*0.01-ROUNDDOWN($E$7*F46/12,2)*Intro!$F$7-(ROUNDDOWN($E$7*F46/12,2)+ROUNDDOWN($E$7*F46/12,2)*0.01)*0.97*0.075-(ROUNDDOWN($E$7*F46/12,2)+ROUNDDOWN($E$7*F46/12,2)*0.01)*0.97*0.005-(ROUNDDOWN($E$7*F46/12,2)+ROUNDDOWN($E$7*F46/12,2)*0.01-ROUNDDOWN($E$7*F46/12,2)*Intro!$F$7-ROUND($E$7*F46/12*0.01*0.05,2))*0.01-ROUND((($E$7*F46/12)*0.01)*0.05,2)</f>
        <v>2884.2684614399996</v>
      </c>
      <c r="H46" s="112"/>
    </row>
    <row r="47" spans="3:8" ht="19.5" customHeight="1" thickBot="1">
      <c r="C47" s="58"/>
      <c r="D47" s="58"/>
      <c r="E47" s="78">
        <v>7</v>
      </c>
      <c r="F47" s="103">
        <f>Indices!I11</f>
        <v>783</v>
      </c>
      <c r="G47" s="102">
        <f>ROUNDDOWN($E$7*F47/12,2)+ROUNDDOWN($E$7*F47/12,2)*0.01-ROUNDDOWN($E$7*F47/12,2)*Intro!$F$7-(ROUNDDOWN($E$7*F47/12,2)+ROUNDDOWN($E$7*F47/12,2)*0.01)*0.97*0.075-(ROUNDDOWN($E$7*F47/12,2)+ROUNDDOWN($E$7*F47/12,2)*0.01)*0.97*0.005-(ROUNDDOWN($E$7*F47/12,2)+ROUNDDOWN($E$7*F47/12,2)*0.01-ROUNDDOWN($E$7*F47/12,2)*Intro!$F$7-ROUND($E$7*F47/12*0.01*0.05,2))*0.01-ROUND((($E$7*F47/12)*0.01)*0.05,2)</f>
        <v>3047.7550793600003</v>
      </c>
      <c r="H47" s="113"/>
    </row>
    <row r="48" spans="3:4" ht="15" thickTop="1">
      <c r="C48" s="93"/>
      <c r="D48" s="93"/>
    </row>
    <row r="49" spans="3:5" ht="14.25">
      <c r="C49" s="93"/>
      <c r="D49" s="93"/>
      <c r="E49" s="93"/>
    </row>
    <row r="50" spans="3:5" ht="14.25">
      <c r="C50" s="93"/>
      <c r="D50" s="93"/>
      <c r="E50" s="93"/>
    </row>
    <row r="51" spans="3:5" ht="14.25">
      <c r="C51" s="58"/>
      <c r="D51" s="58"/>
      <c r="E51" s="58"/>
    </row>
  </sheetData>
  <sheetProtection password="CD3F" sheet="1" objects="1" scenarios="1"/>
  <mergeCells count="34">
    <mergeCell ref="H43:K44"/>
    <mergeCell ref="H39:K40"/>
    <mergeCell ref="B2:C2"/>
    <mergeCell ref="H16:H17"/>
    <mergeCell ref="B16:B17"/>
    <mergeCell ref="H7:J9"/>
    <mergeCell ref="I4:J4"/>
    <mergeCell ref="I5:J5"/>
    <mergeCell ref="C16:C17"/>
    <mergeCell ref="E7:F7"/>
    <mergeCell ref="E8:F8"/>
    <mergeCell ref="E9:F9"/>
    <mergeCell ref="B4:H5"/>
    <mergeCell ref="H15:J15"/>
    <mergeCell ref="C14:J14"/>
    <mergeCell ref="B33:B34"/>
    <mergeCell ref="E39:E40"/>
    <mergeCell ref="C33:C34"/>
    <mergeCell ref="C32:D32"/>
    <mergeCell ref="C35:F36"/>
    <mergeCell ref="F39:F40"/>
    <mergeCell ref="E37:G38"/>
    <mergeCell ref="D33:D34"/>
    <mergeCell ref="G39:G40"/>
    <mergeCell ref="H30:J30"/>
    <mergeCell ref="F29:K29"/>
    <mergeCell ref="C15:D15"/>
    <mergeCell ref="F16:G16"/>
    <mergeCell ref="D16:D17"/>
    <mergeCell ref="I16:J16"/>
    <mergeCell ref="E15:G15"/>
    <mergeCell ref="E16:E17"/>
    <mergeCell ref="C30:D30"/>
    <mergeCell ref="E30:G30"/>
  </mergeCells>
  <conditionalFormatting sqref="B18:J28">
    <cfRule type="expression" priority="1" dxfId="0" stopIfTrue="1">
      <formula>(EVEN(ROW())=ROW())</formula>
    </cfRule>
  </conditionalFormatting>
  <conditionalFormatting sqref="E41:G47 B35:B45 C37:D4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showGridLines="0" showRowColHeaders="0" zoomScale="85" zoomScaleNormal="85" zoomScaleSheetLayoutView="100" workbookViewId="0" topLeftCell="A1">
      <selection activeCell="C29" sqref="C29"/>
    </sheetView>
  </sheetViews>
  <sheetFormatPr defaultColWidth="11.19921875" defaultRowHeight="15"/>
  <cols>
    <col min="1" max="1" width="2.59765625" style="52" customWidth="1"/>
    <col min="2" max="2" width="8.09765625" style="52" customWidth="1"/>
    <col min="3" max="3" width="8.59765625" style="52" customWidth="1"/>
    <col min="4" max="4" width="12.59765625" style="52" customWidth="1"/>
    <col min="5" max="5" width="8.59765625" style="52" customWidth="1"/>
    <col min="6" max="7" width="12.59765625" style="52" customWidth="1"/>
    <col min="8" max="8" width="8.59765625" style="52" customWidth="1"/>
    <col min="9" max="10" width="12.59765625" style="52" customWidth="1"/>
    <col min="11" max="11" width="8.5" style="52" customWidth="1"/>
    <col min="12" max="12" width="8.8984375" style="52" customWidth="1"/>
    <col min="13" max="14" width="11" style="52" customWidth="1"/>
    <col min="15" max="15" width="11.09765625" style="52" customWidth="1"/>
    <col min="16" max="16384" width="11" style="52" customWidth="1"/>
  </cols>
  <sheetData>
    <row r="2" spans="2:10" ht="24" customHeight="1">
      <c r="B2" s="155" t="s">
        <v>33</v>
      </c>
      <c r="C2" s="155"/>
      <c r="D2" s="104"/>
      <c r="E2" s="104"/>
      <c r="F2" s="104"/>
      <c r="G2" s="104"/>
      <c r="H2" s="104"/>
      <c r="I2" s="104"/>
      <c r="J2" s="104"/>
    </row>
    <row r="3" ht="10.5" customHeight="1" thickBot="1">
      <c r="B3" s="53"/>
    </row>
    <row r="4" spans="2:10" s="54" customFormat="1" ht="36" customHeight="1" thickTop="1">
      <c r="B4" s="163" t="s">
        <v>51</v>
      </c>
      <c r="C4" s="164"/>
      <c r="D4" s="164"/>
      <c r="E4" s="164"/>
      <c r="F4" s="164"/>
      <c r="G4" s="164"/>
      <c r="H4" s="164"/>
      <c r="I4" s="170" t="s">
        <v>19</v>
      </c>
      <c r="J4" s="171"/>
    </row>
    <row r="5" spans="2:10" s="54" customFormat="1" ht="36" customHeight="1" thickBot="1">
      <c r="B5" s="165"/>
      <c r="C5" s="166"/>
      <c r="D5" s="166"/>
      <c r="E5" s="166"/>
      <c r="F5" s="166"/>
      <c r="G5" s="166"/>
      <c r="H5" s="166"/>
      <c r="I5" s="172">
        <f>Intro!H2</f>
        <v>38898</v>
      </c>
      <c r="J5" s="173"/>
    </row>
    <row r="6" spans="2:7" s="56" customFormat="1" ht="9.75" customHeight="1" thickTop="1">
      <c r="B6" s="55"/>
      <c r="C6" s="55"/>
      <c r="D6" s="55"/>
      <c r="E6" s="55"/>
      <c r="F6" s="55"/>
      <c r="G6" s="55"/>
    </row>
    <row r="7" spans="2:11" s="58" customFormat="1" ht="18" customHeight="1">
      <c r="B7" s="57"/>
      <c r="D7" s="59" t="s">
        <v>4</v>
      </c>
      <c r="E7" s="156">
        <f>Intro!F2</f>
        <v>55.5635</v>
      </c>
      <c r="F7" s="157"/>
      <c r="G7" s="169" t="s">
        <v>32</v>
      </c>
      <c r="H7" s="169"/>
      <c r="I7" s="169"/>
      <c r="J7" s="169"/>
      <c r="K7" s="105"/>
    </row>
    <row r="8" spans="2:10" s="58" customFormat="1" ht="18" customHeight="1">
      <c r="B8" s="57"/>
      <c r="D8" s="59" t="s">
        <v>2</v>
      </c>
      <c r="E8" s="158">
        <f>ROUNDDOWN(E7/12,2)</f>
        <v>4.63</v>
      </c>
      <c r="F8" s="158"/>
      <c r="G8" s="169"/>
      <c r="H8" s="169"/>
      <c r="I8" s="169"/>
      <c r="J8" s="169"/>
    </row>
    <row r="9" spans="2:11" s="58" customFormat="1" ht="18" customHeight="1">
      <c r="B9" s="57"/>
      <c r="D9" s="59" t="s">
        <v>3</v>
      </c>
      <c r="E9" s="158">
        <f>ROUNDDOWN($E$7/12,2)-ROUNDDOWN($E$7/12,2)*Intro!$F$7-ROUNDDOWN($E$7/12,2)*0.97*0.075-ROUNDDOWN($E$7/12,2)*0.97*0.005-(ROUNDDOWN($E$7/12,2)-ROUNDDOWN($E$7/12,2)*Intro!$F$7)*0.01</f>
        <v>3.8522155600000008</v>
      </c>
      <c r="F9" s="158"/>
      <c r="G9" s="169"/>
      <c r="H9" s="169"/>
      <c r="I9" s="169"/>
      <c r="J9" s="169"/>
      <c r="K9" s="105"/>
    </row>
    <row r="10" spans="2:7" s="58" customFormat="1" ht="18" customHeight="1">
      <c r="B10" s="57"/>
      <c r="D10" s="107"/>
      <c r="E10" s="106"/>
      <c r="F10" s="106"/>
      <c r="G10" s="109"/>
    </row>
    <row r="11" s="58" customFormat="1" ht="22.5" customHeight="1" thickBot="1">
      <c r="J11" s="107" t="s">
        <v>39</v>
      </c>
    </row>
    <row r="12" spans="2:10" s="63" customFormat="1" ht="19.5" customHeight="1" thickBot="1" thickTop="1">
      <c r="B12" s="62"/>
      <c r="C12" s="177" t="s">
        <v>12</v>
      </c>
      <c r="D12" s="178"/>
      <c r="E12" s="178"/>
      <c r="F12" s="178"/>
      <c r="G12" s="178"/>
      <c r="H12" s="178"/>
      <c r="I12" s="178"/>
      <c r="J12" s="179"/>
    </row>
    <row r="13" spans="2:10" s="63" customFormat="1" ht="19.5" customHeight="1" thickBot="1" thickTop="1">
      <c r="B13" s="62"/>
      <c r="C13" s="160" t="s">
        <v>26</v>
      </c>
      <c r="D13" s="161"/>
      <c r="E13" s="160" t="s">
        <v>0</v>
      </c>
      <c r="F13" s="161"/>
      <c r="G13" s="161"/>
      <c r="H13" s="160" t="s">
        <v>1</v>
      </c>
      <c r="I13" s="161"/>
      <c r="J13" s="162"/>
    </row>
    <row r="14" spans="2:10" s="64" customFormat="1" ht="19.5" customHeight="1" thickTop="1">
      <c r="B14" s="148" t="s">
        <v>13</v>
      </c>
      <c r="C14" s="152" t="s">
        <v>14</v>
      </c>
      <c r="D14" s="167" t="s">
        <v>15</v>
      </c>
      <c r="E14" s="152" t="s">
        <v>14</v>
      </c>
      <c r="F14" s="180" t="s">
        <v>15</v>
      </c>
      <c r="G14" s="150"/>
      <c r="H14" s="154" t="s">
        <v>14</v>
      </c>
      <c r="I14" s="180" t="s">
        <v>15</v>
      </c>
      <c r="J14" s="150"/>
    </row>
    <row r="15" spans="2:10" s="64" customFormat="1" ht="43.5" thickBot="1">
      <c r="B15" s="149"/>
      <c r="C15" s="153"/>
      <c r="D15" s="168"/>
      <c r="E15" s="159"/>
      <c r="F15" s="65" t="s">
        <v>27</v>
      </c>
      <c r="G15" s="65" t="s">
        <v>28</v>
      </c>
      <c r="H15" s="126"/>
      <c r="I15" s="65" t="s">
        <v>27</v>
      </c>
      <c r="J15" s="65" t="s">
        <v>28</v>
      </c>
    </row>
    <row r="16" spans="2:10" ht="19.5" customHeight="1" thickTop="1">
      <c r="B16" s="67">
        <v>1</v>
      </c>
      <c r="C16" s="68">
        <f>Indices!C5</f>
        <v>341</v>
      </c>
      <c r="D16" s="71">
        <f>ROUNDDOWN($E$7*C16/12,2)-ROUNDDOWN($E$7*C16/12,2)*Intro!$F$7-ROUNDDOWN($E$7*C16/12,2)*0.97*0.075-ROUNDDOWN($E$7*C16/12,2)*0.97*0.005-(ROUNDDOWN($E$7*C16/12,2)-ROUNDDOWN($E$7*C16/12,2)*Intro!$F$7)*0.01</f>
        <v>1313.68038704</v>
      </c>
      <c r="E16" s="70">
        <f>C16</f>
        <v>341</v>
      </c>
      <c r="F16" s="71">
        <f>ROUNDDOWN($E$7*E16/12,2)-ROUNDDOWN($E$7*E16/12,2)*Intro!$F$7-(ROUNDDOWN($E$7*E16/12,2)+ROUNDDOWN($G$28,2))*0.97*0.075-(ROUNDDOWN($E$7*E16/12,2)+ROUNDDOWN($G$28,2))*0.97*0.005-(ROUNDDOWN($E$7*E16/12,2)-ROUNDDOWN($E$7*E16/12,2)*Intro!$F$7-ROUND($G$28*0.05,2))*0.01-ROUND($G$28*0.05,2)</f>
        <v>1313.68038704</v>
      </c>
      <c r="G16" s="71">
        <f aca="true" t="shared" si="0" ref="G16:G26">F16+$G$28</f>
        <v>1313.68038704</v>
      </c>
      <c r="H16" s="70">
        <f>C16</f>
        <v>341</v>
      </c>
      <c r="I16" s="71">
        <f>ROUNDDOWN($E$7*H16/12,2)-ROUNDDOWN($E$7*H16/12,2)*Intro!$F$7-(ROUNDDOWN($E$7*H16/12,2)+ROUNDDOWN($J$28,2))*0.97*0.075-(ROUNDDOWN($E$7*H16/12,2)+ROUNDDOWN($J$28,2))*0.97*0.005-(ROUNDDOWN($E$7*H16/12,2)-ROUNDDOWN($E$7*H16/12,2)*Intro!$F$7-ROUND($J$28*0.05,2))*0.01-ROUND($J$28*0.05,2)</f>
        <v>1313.68038704</v>
      </c>
      <c r="J16" s="71">
        <f aca="true" t="shared" si="1" ref="J16:J26">I16+$J$28</f>
        <v>1313.68038704</v>
      </c>
    </row>
    <row r="17" spans="2:10" ht="19.5" customHeight="1">
      <c r="B17" s="73">
        <v>2</v>
      </c>
      <c r="C17" s="74">
        <f>Indices!C6</f>
        <v>357</v>
      </c>
      <c r="D17" s="76">
        <f>ROUNDDOWN($E$7*C17/12,2)-ROUNDDOWN($E$7*C17/12,2)*Intro!$F$7-ROUNDDOWN($E$7*C17/12,2)*0.97*0.075-ROUNDDOWN($E$7*C17/12,2)*0.97*0.005-(ROUNDDOWN($E$7*C17/12,2)-ROUNDDOWN($E$7*C17/12,2)*Intro!$F$7)*0.01</f>
        <v>1375.32415612</v>
      </c>
      <c r="E17" s="74">
        <f aca="true" t="shared" si="2" ref="E17:E26">C17</f>
        <v>357</v>
      </c>
      <c r="F17" s="76">
        <f>ROUNDDOWN($E$7*E17/12,2)-ROUNDDOWN($E$7*E17/12,2)*Intro!$F$7-(ROUNDDOWN($E$7*E17/12,2)+ROUNDDOWN($G$28,2))*0.97*0.075-(ROUNDDOWN($E$7*E17/12,2)+ROUNDDOWN($G$28,2))*0.97*0.005-(ROUNDDOWN($E$7*E17/12,2)-ROUNDDOWN($E$7*E17/12,2)*Intro!$F$7-ROUND($G$28*0.05,2))*0.01-ROUND($G$28*0.05,2)</f>
        <v>1375.32415612</v>
      </c>
      <c r="G17" s="76">
        <f t="shared" si="0"/>
        <v>1375.32415612</v>
      </c>
      <c r="H17" s="74">
        <f aca="true" t="shared" si="3" ref="H17:H26">C17</f>
        <v>357</v>
      </c>
      <c r="I17" s="76">
        <f>ROUNDDOWN($E$7*H17/12,2)-ROUNDDOWN($E$7*H17/12,2)*Intro!$F$7-(ROUNDDOWN($E$7*H17/12,2)+ROUNDDOWN($J$28,2))*0.97*0.075-(ROUNDDOWN($E$7*H17/12,2)+ROUNDDOWN($J$28,2))*0.97*0.005-(ROUNDDOWN($E$7*H17/12,2)-ROUNDDOWN($E$7*H17/12,2)*Intro!$F$7-ROUND($J$28*0.05,2))*0.01-ROUND($J$28*0.05,2)</f>
        <v>1375.32415612</v>
      </c>
      <c r="J17" s="76">
        <f t="shared" si="1"/>
        <v>1375.32415612</v>
      </c>
    </row>
    <row r="18" spans="2:10" ht="19.5" customHeight="1">
      <c r="B18" s="73">
        <v>3</v>
      </c>
      <c r="C18" s="74">
        <f>Indices!C7</f>
        <v>366</v>
      </c>
      <c r="D18" s="76">
        <f>ROUNDDOWN($E$7*C18/12,2)-ROUNDDOWN($E$7*C18/12,2)*Intro!$F$7-ROUNDDOWN($E$7*C18/12,2)*0.97*0.075-ROUNDDOWN($E$7*C18/12,2)*0.97*0.005-(ROUNDDOWN($E$7*C18/12,2)-ROUNDDOWN($E$7*C18/12,2)*Intro!$F$7)*0.01</f>
        <v>1409.99409616</v>
      </c>
      <c r="E18" s="74">
        <f t="shared" si="2"/>
        <v>366</v>
      </c>
      <c r="F18" s="76">
        <f>ROUNDDOWN($E$7*E18/12,2)-ROUNDDOWN($E$7*E18/12,2)*Intro!$F$7-(ROUNDDOWN($E$7*E18/12,2)+ROUNDDOWN($G$28,2))*0.97*0.075-(ROUNDDOWN($E$7*E18/12,2)+ROUNDDOWN($G$28,2))*0.97*0.005-(ROUNDDOWN($E$7*E18/12,2)-ROUNDDOWN($E$7*E18/12,2)*Intro!$F$7-ROUND($G$28*0.05,2))*0.01-ROUND($G$28*0.05,2)</f>
        <v>1409.99409616</v>
      </c>
      <c r="G18" s="76">
        <f t="shared" si="0"/>
        <v>1409.99409616</v>
      </c>
      <c r="H18" s="74">
        <f t="shared" si="3"/>
        <v>366</v>
      </c>
      <c r="I18" s="76">
        <f>ROUNDDOWN($E$7*H18/12,2)-ROUNDDOWN($E$7*H18/12,2)*Intro!$F$7-(ROUNDDOWN($E$7*H18/12,2)+ROUNDDOWN($J$28,2))*0.97*0.075-(ROUNDDOWN($E$7*H18/12,2)+ROUNDDOWN($J$28,2))*0.97*0.005-(ROUNDDOWN($E$7*H18/12,2)-ROUNDDOWN($E$7*H18/12,2)*Intro!$F$7-ROUND($J$28*0.05,2))*0.01-ROUND($J$28*0.05,2)</f>
        <v>1409.99409616</v>
      </c>
      <c r="J18" s="76">
        <f t="shared" si="1"/>
        <v>1409.99409616</v>
      </c>
    </row>
    <row r="19" spans="2:10" ht="19.5" customHeight="1">
      <c r="B19" s="73">
        <v>4</v>
      </c>
      <c r="C19" s="74">
        <f>Indices!C8</f>
        <v>373</v>
      </c>
      <c r="D19" s="76">
        <f>ROUNDDOWN($E$7*C19/12,2)-ROUNDDOWN($E$7*C19/12,2)*Intro!$F$7-ROUNDDOWN($E$7*C19/12,2)*0.97*0.075-ROUNDDOWN($E$7*C19/12,2)*0.97*0.005-(ROUNDDOWN($E$7*C19/12,2)-ROUNDDOWN($E$7*C19/12,2)*Intro!$F$7)*0.01</f>
        <v>1436.9596050799996</v>
      </c>
      <c r="E19" s="74">
        <f t="shared" si="2"/>
        <v>373</v>
      </c>
      <c r="F19" s="76">
        <f>ROUNDDOWN($E$7*E19/12,2)-ROUNDDOWN($E$7*E19/12,2)*Intro!$F$7-(ROUNDDOWN($E$7*E19/12,2)+ROUNDDOWN($G$28,2))*0.97*0.075-(ROUNDDOWN($E$7*E19/12,2)+ROUNDDOWN($G$28,2))*0.97*0.005-(ROUNDDOWN($E$7*E19/12,2)-ROUNDDOWN($E$7*E19/12,2)*Intro!$F$7-ROUND($G$28*0.05,2))*0.01-ROUND($G$28*0.05,2)</f>
        <v>1436.9596050799996</v>
      </c>
      <c r="G19" s="76">
        <f t="shared" si="0"/>
        <v>1436.9596050799996</v>
      </c>
      <c r="H19" s="74">
        <f t="shared" si="3"/>
        <v>373</v>
      </c>
      <c r="I19" s="76">
        <f>ROUNDDOWN($E$7*H19/12,2)-ROUNDDOWN($E$7*H19/12,2)*Intro!$F$7-(ROUNDDOWN($E$7*H19/12,2)+ROUNDDOWN($J$28,2))*0.97*0.075-(ROUNDDOWN($E$7*H19/12,2)+ROUNDDOWN($J$28,2))*0.97*0.005-(ROUNDDOWN($E$7*H19/12,2)-ROUNDDOWN($E$7*H19/12,2)*Intro!$F$7-ROUND($J$28*0.05,2))*0.01-ROUND($J$28*0.05,2)</f>
        <v>1436.9596050799996</v>
      </c>
      <c r="J19" s="76">
        <f t="shared" si="1"/>
        <v>1436.9596050799996</v>
      </c>
    </row>
    <row r="20" spans="2:10" ht="19.5" customHeight="1">
      <c r="B20" s="73">
        <v>5</v>
      </c>
      <c r="C20" s="74">
        <f>Indices!C9</f>
        <v>383</v>
      </c>
      <c r="D20" s="76">
        <f>ROUNDDOWN($E$7*C20/12,2)-ROUNDDOWN($E$7*C20/12,2)*Intro!$F$7-ROUNDDOWN($E$7*C20/12,2)*0.97*0.075-ROUNDDOWN($E$7*C20/12,2)*0.97*0.005-(ROUNDDOWN($E$7*C20/12,2)-ROUNDDOWN($E$7*C20/12,2)*Intro!$F$7)*0.01</f>
        <v>1475.4900808000002</v>
      </c>
      <c r="E20" s="74">
        <f t="shared" si="2"/>
        <v>383</v>
      </c>
      <c r="F20" s="76">
        <f>ROUNDDOWN($E$7*E20/12,2)-ROUNDDOWN($E$7*E20/12,2)*Intro!$F$7-(ROUNDDOWN($E$7*E20/12,2)+ROUNDDOWN($G$28,2))*0.97*0.075-(ROUNDDOWN($E$7*E20/12,2)+ROUNDDOWN($G$28,2))*0.97*0.005-(ROUNDDOWN($E$7*E20/12,2)-ROUNDDOWN($E$7*E20/12,2)*Intro!$F$7-ROUND($G$28*0.05,2))*0.01-ROUND($G$28*0.05,2)</f>
        <v>1475.4900808000002</v>
      </c>
      <c r="G20" s="76">
        <f t="shared" si="0"/>
        <v>1475.4900808000002</v>
      </c>
      <c r="H20" s="74">
        <f t="shared" si="3"/>
        <v>383</v>
      </c>
      <c r="I20" s="76">
        <f>ROUNDDOWN($E$7*H20/12,2)-ROUNDDOWN($E$7*H20/12,2)*Intro!$F$7-(ROUNDDOWN($E$7*H20/12,2)+ROUNDDOWN($J$28,2))*0.97*0.075-(ROUNDDOWN($E$7*H20/12,2)+ROUNDDOWN($J$28,2))*0.97*0.005-(ROUNDDOWN($E$7*H20/12,2)-ROUNDDOWN($E$7*H20/12,2)*Intro!$F$7-ROUND($J$28*0.05,2))*0.01-ROUND($J$28*0.05,2)</f>
        <v>1475.4900808000002</v>
      </c>
      <c r="J20" s="76">
        <f t="shared" si="1"/>
        <v>1475.4900808000002</v>
      </c>
    </row>
    <row r="21" spans="2:10" ht="19.5" customHeight="1">
      <c r="B21" s="73">
        <v>6</v>
      </c>
      <c r="C21" s="74">
        <f>Indices!C10</f>
        <v>390</v>
      </c>
      <c r="D21" s="76">
        <f>ROUNDDOWN($E$7*C21/12,2)-ROUNDDOWN($E$7*C21/12,2)*Intro!$F$7-ROUNDDOWN($E$7*C21/12,2)*0.97*0.075-ROUNDDOWN($E$7*C21/12,2)*0.97*0.005-(ROUNDDOWN($E$7*C21/12,2)-ROUNDDOWN($E$7*C21/12,2)*Intro!$F$7)*0.01</f>
        <v>1502.45558972</v>
      </c>
      <c r="E21" s="74">
        <f t="shared" si="2"/>
        <v>390</v>
      </c>
      <c r="F21" s="76">
        <f>ROUNDDOWN($E$7*E21/12,2)-ROUNDDOWN($E$7*E21/12,2)*Intro!$F$7-(ROUNDDOWN($E$7*E21/12,2)+ROUNDDOWN($G$28,2))*0.97*0.075-(ROUNDDOWN($E$7*E21/12,2)+ROUNDDOWN($G$28,2))*0.97*0.005-(ROUNDDOWN($E$7*E21/12,2)-ROUNDDOWN($E$7*E21/12,2)*Intro!$F$7-ROUND($G$28*0.05,2))*0.01-ROUND($G$28*0.05,2)</f>
        <v>1502.45558972</v>
      </c>
      <c r="G21" s="76">
        <f t="shared" si="0"/>
        <v>1502.45558972</v>
      </c>
      <c r="H21" s="74">
        <f t="shared" si="3"/>
        <v>390</v>
      </c>
      <c r="I21" s="76">
        <f>ROUNDDOWN($E$7*H21/12,2)-ROUNDDOWN($E$7*H21/12,2)*Intro!$F$7-(ROUNDDOWN($E$7*H21/12,2)+ROUNDDOWN($J$28,2))*0.97*0.075-(ROUNDDOWN($E$7*H21/12,2)+ROUNDDOWN($J$28,2))*0.97*0.005-(ROUNDDOWN($E$7*H21/12,2)-ROUNDDOWN($E$7*H21/12,2)*Intro!$F$7-ROUND($J$28*0.05,2))*0.01-ROUND($J$28*0.05,2)</f>
        <v>1502.45558972</v>
      </c>
      <c r="J21" s="76">
        <f t="shared" si="1"/>
        <v>1502.45558972</v>
      </c>
    </row>
    <row r="22" spans="2:10" ht="19.5" customHeight="1">
      <c r="B22" s="73">
        <v>7</v>
      </c>
      <c r="C22" s="74">
        <f>Indices!C11</f>
        <v>399</v>
      </c>
      <c r="D22" s="76">
        <f>ROUNDDOWN($E$7*C22/12,2)-ROUNDDOWN($E$7*C22/12,2)*Intro!$F$7-ROUNDDOWN($E$7*C22/12,2)*0.97*0.075-ROUNDDOWN($E$7*C22/12,2)*0.97*0.005-(ROUNDDOWN($E$7*C22/12,2)-ROUNDDOWN($E$7*C22/12,2)*Intro!$F$7)*0.01</f>
        <v>1537.1255297599998</v>
      </c>
      <c r="E22" s="74">
        <f t="shared" si="2"/>
        <v>399</v>
      </c>
      <c r="F22" s="76">
        <f>ROUNDDOWN($E$7*E22/12,2)-ROUNDDOWN($E$7*E22/12,2)*Intro!$F$7-(ROUNDDOWN($E$7*E22/12,2)+ROUNDDOWN($G$28,2))*0.97*0.075-(ROUNDDOWN($E$7*E22/12,2)+ROUNDDOWN($G$28,2))*0.97*0.005-(ROUNDDOWN($E$7*E22/12,2)-ROUNDDOWN($E$7*E22/12,2)*Intro!$F$7-ROUND($G$28*0.05,2))*0.01-ROUND($G$28*0.05,2)</f>
        <v>1537.1255297599998</v>
      </c>
      <c r="G22" s="76">
        <f t="shared" si="0"/>
        <v>1537.1255297599998</v>
      </c>
      <c r="H22" s="74">
        <f t="shared" si="3"/>
        <v>399</v>
      </c>
      <c r="I22" s="76">
        <f>ROUNDDOWN($E$7*H22/12,2)-ROUNDDOWN($E$7*H22/12,2)*Intro!$F$7-(ROUNDDOWN($E$7*H22/12,2)+ROUNDDOWN($J$28,2))*0.97*0.075-(ROUNDDOWN($E$7*H22/12,2)+ROUNDDOWN($J$28,2))*0.97*0.005-(ROUNDDOWN($E$7*H22/12,2)-ROUNDDOWN($E$7*H22/12,2)*Intro!$F$7-ROUND($J$28*0.05,2))*0.01-ROUND($J$28*0.05,2)</f>
        <v>1537.1255297599998</v>
      </c>
      <c r="J22" s="76">
        <f t="shared" si="1"/>
        <v>1537.1255297599998</v>
      </c>
    </row>
    <row r="23" spans="2:10" ht="19.5" customHeight="1">
      <c r="B23" s="73">
        <v>8</v>
      </c>
      <c r="C23" s="74">
        <f>Indices!C12</f>
        <v>420</v>
      </c>
      <c r="D23" s="76">
        <f>ROUNDDOWN($E$7*C23/12,2)-ROUNDDOWN($E$7*C23/12,2)*Intro!$F$7-ROUNDDOWN($E$7*C23/12,2)*0.97*0.075-ROUNDDOWN($E$7*C23/12,2)*0.97*0.005-(ROUNDDOWN($E$7*C23/12,2)-ROUNDDOWN($E$7*C23/12,2)*Intro!$F$7)*0.01</f>
        <v>1618.03037664</v>
      </c>
      <c r="E23" s="74">
        <f t="shared" si="2"/>
        <v>420</v>
      </c>
      <c r="F23" s="76">
        <f>ROUNDDOWN($E$7*E23/12,2)-ROUNDDOWN($E$7*E23/12,2)*Intro!$F$7-(ROUNDDOWN($E$7*E23/12,2)+ROUNDDOWN($G$28,2))*0.97*0.075-(ROUNDDOWN($E$7*E23/12,2)+ROUNDDOWN($G$28,2))*0.97*0.005-(ROUNDDOWN($E$7*E23/12,2)-ROUNDDOWN($E$7*E23/12,2)*Intro!$F$7-ROUND($G$28*0.05,2))*0.01-ROUND($G$28*0.05,2)</f>
        <v>1618.03037664</v>
      </c>
      <c r="G23" s="76">
        <f t="shared" si="0"/>
        <v>1618.03037664</v>
      </c>
      <c r="H23" s="74">
        <f t="shared" si="3"/>
        <v>420</v>
      </c>
      <c r="I23" s="76">
        <f>ROUNDDOWN($E$7*H23/12,2)-ROUNDDOWN($E$7*H23/12,2)*Intro!$F$7-(ROUNDDOWN($E$7*H23/12,2)+ROUNDDOWN($J$28,2))*0.97*0.075-(ROUNDDOWN($E$7*H23/12,2)+ROUNDDOWN($J$28,2))*0.97*0.005-(ROUNDDOWN($E$7*H23/12,2)-ROUNDDOWN($E$7*H23/12,2)*Intro!$F$7-ROUND($J$28*0.05,2))*0.01-ROUND($J$28*0.05,2)</f>
        <v>1618.03037664</v>
      </c>
      <c r="J23" s="76">
        <f t="shared" si="1"/>
        <v>1618.03037664</v>
      </c>
    </row>
    <row r="24" spans="2:10" ht="19.5" customHeight="1">
      <c r="B24" s="73">
        <v>9</v>
      </c>
      <c r="C24" s="74">
        <f>Indices!C13</f>
        <v>441</v>
      </c>
      <c r="D24" s="76">
        <f>ROUNDDOWN($E$7*C24/12,2)-ROUNDDOWN($E$7*C24/12,2)*Intro!$F$7-ROUNDDOWN($E$7*C24/12,2)*0.97*0.075-ROUNDDOWN($E$7*C24/12,2)*0.97*0.005-(ROUNDDOWN($E$7*C24/12,2)-ROUNDDOWN($E$7*C24/12,2)*Intro!$F$7)*0.01</f>
        <v>1698.9269034</v>
      </c>
      <c r="E24" s="74">
        <f t="shared" si="2"/>
        <v>441</v>
      </c>
      <c r="F24" s="76">
        <f>ROUNDDOWN($E$7*E24/12,2)-ROUNDDOWN($E$7*E24/12,2)*Intro!$F$7-(ROUNDDOWN($E$7*E24/12,2)+ROUNDDOWN($G$28,2))*0.97*0.075-(ROUNDDOWN($E$7*E24/12,2)+ROUNDDOWN($G$28,2))*0.97*0.005-(ROUNDDOWN($E$7*E24/12,2)-ROUNDDOWN($E$7*E24/12,2)*Intro!$F$7-ROUND($G$28*0.05,2))*0.01-ROUND($G$28*0.05,2)</f>
        <v>1698.9269034</v>
      </c>
      <c r="G24" s="76">
        <f t="shared" si="0"/>
        <v>1698.9269034</v>
      </c>
      <c r="H24" s="74">
        <f t="shared" si="3"/>
        <v>441</v>
      </c>
      <c r="I24" s="76">
        <f>ROUNDDOWN($E$7*H24/12,2)-ROUNDDOWN($E$7*H24/12,2)*Intro!$F$7-(ROUNDDOWN($E$7*H24/12,2)+ROUNDDOWN($J$28,2))*0.97*0.075-(ROUNDDOWN($E$7*H24/12,2)+ROUNDDOWN($J$28,2))*0.97*0.005-(ROUNDDOWN($E$7*H24/12,2)-ROUNDDOWN($E$7*H24/12,2)*Intro!$F$7-ROUND($J$28*0.05,2))*0.01-ROUND($J$28*0.05,2)</f>
        <v>1698.9269034</v>
      </c>
      <c r="J24" s="76">
        <f t="shared" si="1"/>
        <v>1698.9269034</v>
      </c>
    </row>
    <row r="25" spans="2:10" ht="19.5" customHeight="1">
      <c r="B25" s="73">
        <v>10</v>
      </c>
      <c r="C25" s="74">
        <f>Indices!C14</f>
        <v>469</v>
      </c>
      <c r="D25" s="76">
        <f>ROUNDDOWN($E$7*C25/12,2)-ROUNDDOWN($E$7*C25/12,2)*Intro!$F$7-ROUNDDOWN($E$7*C25/12,2)*0.97*0.075-ROUNDDOWN($E$7*C25/12,2)*0.97*0.005-(ROUNDDOWN($E$7*C25/12,2)-ROUNDDOWN($E$7*C25/12,2)*Intro!$F$7)*0.01</f>
        <v>1806.7972591999999</v>
      </c>
      <c r="E25" s="74">
        <f t="shared" si="2"/>
        <v>469</v>
      </c>
      <c r="F25" s="76">
        <f>ROUNDDOWN($E$7*E25/12,2)-ROUNDDOWN($E$7*E25/12,2)*Intro!$F$7-(ROUNDDOWN($E$7*E25/12,2)+ROUNDDOWN($G$28,2))*0.97*0.075-(ROUNDDOWN($E$7*E25/12,2)+ROUNDDOWN($G$28,2))*0.97*0.005-(ROUNDDOWN($E$7*E25/12,2)-ROUNDDOWN($E$7*E25/12,2)*Intro!$F$7-ROUND($G$28*0.05,2))*0.01-ROUND($G$28*0.05,2)</f>
        <v>1806.7972591999999</v>
      </c>
      <c r="G25" s="76">
        <f t="shared" si="0"/>
        <v>1806.7972591999999</v>
      </c>
      <c r="H25" s="74">
        <f t="shared" si="3"/>
        <v>469</v>
      </c>
      <c r="I25" s="76">
        <f>ROUNDDOWN($E$7*H25/12,2)-ROUNDDOWN($E$7*H25/12,2)*Intro!$F$7-(ROUNDDOWN($E$7*H25/12,2)+ROUNDDOWN($J$28,2))*0.97*0.075-(ROUNDDOWN($E$7*H25/12,2)+ROUNDDOWN($J$28,2))*0.97*0.005-(ROUNDDOWN($E$7*H25/12,2)-ROUNDDOWN($E$7*H25/12,2)*Intro!$F$7-ROUND($J$28*0.05,2))*0.01-ROUND($J$28*0.05,2)</f>
        <v>1806.7972591999999</v>
      </c>
      <c r="J25" s="76">
        <f t="shared" si="1"/>
        <v>1806.7972591999999</v>
      </c>
    </row>
    <row r="26" spans="2:10" ht="19.5" customHeight="1" thickBot="1">
      <c r="B26" s="78">
        <v>11</v>
      </c>
      <c r="C26" s="79">
        <f>Indices!C15</f>
        <v>515</v>
      </c>
      <c r="D26" s="81">
        <f>ROUNDDOWN($E$7*C26/12,2)-ROUNDDOWN($E$7*C26/12,2)*Intro!$F$7-ROUNDDOWN($E$7*C26/12,2)*0.97*0.075-ROUNDDOWN($E$7*C26/12,2)*0.97*0.005-(ROUNDDOWN($E$7*C26/12,2)-ROUNDDOWN($E$7*C26/12,2)*Intro!$F$7)*0.01</f>
        <v>1984.0158152</v>
      </c>
      <c r="E26" s="79">
        <f t="shared" si="2"/>
        <v>515</v>
      </c>
      <c r="F26" s="81">
        <f>ROUNDDOWN($E$7*E26/12,2)-ROUNDDOWN($E$7*E26/12,2)*Intro!$F$7-(ROUNDDOWN($E$7*E26/12,2)+ROUNDDOWN($G$28,2))*0.97*0.075-(ROUNDDOWN($E$7*E26/12,2)+ROUNDDOWN($G$28,2))*0.97*0.005-(ROUNDDOWN($E$7*E26/12,2)-ROUNDDOWN($E$7*E26/12,2)*Intro!$F$7-ROUND($G$28*0.05,2))*0.01-ROUND($G$28*0.05,2)</f>
        <v>1984.0158152</v>
      </c>
      <c r="G26" s="81">
        <f t="shared" si="0"/>
        <v>1984.0158152</v>
      </c>
      <c r="H26" s="79">
        <f t="shared" si="3"/>
        <v>515</v>
      </c>
      <c r="I26" s="81">
        <f>ROUNDDOWN($E$7*H26/12,2)-ROUNDDOWN($E$7*H26/12,2)*Intro!$F$7-(ROUNDDOWN($E$7*H26/12,2)+ROUNDDOWN($J$28,2))*0.97*0.075-(ROUNDDOWN($E$7*H26/12,2)+ROUNDDOWN($J$28,2))*0.97*0.005-(ROUNDDOWN($E$7*H26/12,2)-ROUNDDOWN($E$7*H26/12,2)*Intro!$F$7-ROUND($J$28*0.05,2))*0.01-ROUND($J$28*0.05,2)</f>
        <v>1984.0158152</v>
      </c>
      <c r="J26" s="81">
        <f t="shared" si="1"/>
        <v>1984.0158152</v>
      </c>
    </row>
    <row r="27" spans="3:11" ht="19.5" customHeight="1" thickBot="1" thickTop="1">
      <c r="C27" s="83"/>
      <c r="D27" s="83"/>
      <c r="E27" s="83"/>
      <c r="F27" s="176" t="s">
        <v>10</v>
      </c>
      <c r="G27" s="176"/>
      <c r="H27" s="176"/>
      <c r="I27" s="176"/>
      <c r="J27" s="176"/>
      <c r="K27" s="117"/>
    </row>
    <row r="28" spans="3:10" s="86" customFormat="1" ht="16.5" thickBot="1" thickTop="1">
      <c r="C28" s="120" t="s">
        <v>9</v>
      </c>
      <c r="D28" s="122">
        <f>Intro!H4</f>
        <v>38717</v>
      </c>
      <c r="F28" s="174">
        <f>Intro!C4</f>
        <v>187.2</v>
      </c>
      <c r="G28" s="175"/>
      <c r="H28" s="121"/>
      <c r="I28" s="174">
        <f>Intro!F4</f>
        <v>234</v>
      </c>
      <c r="J28" s="175"/>
    </row>
    <row r="29" spans="3:11" s="86" customFormat="1" ht="39.75" customHeight="1" thickBot="1" thickTop="1">
      <c r="C29" s="87"/>
      <c r="D29" s="87"/>
      <c r="E29" s="88"/>
      <c r="F29" s="89"/>
      <c r="G29" s="89"/>
      <c r="H29" s="90"/>
      <c r="I29" s="91"/>
      <c r="J29" s="91"/>
      <c r="K29" s="91"/>
    </row>
    <row r="30" spans="3:12" ht="19.5" customHeight="1" thickBot="1" thickTop="1">
      <c r="C30" s="177" t="s">
        <v>17</v>
      </c>
      <c r="D30" s="179"/>
      <c r="E30" s="86"/>
      <c r="H30" s="86"/>
      <c r="K30" s="108"/>
      <c r="L30" s="108"/>
    </row>
    <row r="31" spans="2:13" s="58" customFormat="1" ht="19.5" customHeight="1" thickTop="1">
      <c r="B31" s="148" t="s">
        <v>13</v>
      </c>
      <c r="C31" s="152" t="s">
        <v>14</v>
      </c>
      <c r="D31" s="167" t="s">
        <v>15</v>
      </c>
      <c r="H31" s="92"/>
      <c r="K31" s="109"/>
      <c r="L31" s="109"/>
      <c r="M31" s="109"/>
    </row>
    <row r="32" spans="2:4" s="93" customFormat="1" ht="19.5" customHeight="1" thickBot="1">
      <c r="B32" s="149"/>
      <c r="C32" s="153"/>
      <c r="D32" s="168" t="s">
        <v>18</v>
      </c>
    </row>
    <row r="33" spans="2:13" s="93" customFormat="1" ht="19.5" customHeight="1" thickTop="1">
      <c r="B33" s="67">
        <v>1</v>
      </c>
      <c r="C33" s="68">
        <f>Indices!F5</f>
        <v>349</v>
      </c>
      <c r="D33" s="94">
        <f>ROUNDDOWN($E$7*C33/12,2)-ROUNDDOWN($E$7*C33/12,2)*Intro!$F$7-ROUNDDOWN($E$7*C33/12,2)*0.97*0.075-ROUNDDOWN($E$7*C33/12,2)*0.97*0.005-(ROUNDDOWN($E$7*C33/12,2)-ROUNDDOWN($E$7*C33/12,2)*Intro!$F$7)*0.01</f>
        <v>1344.50643164</v>
      </c>
      <c r="K33" s="109"/>
      <c r="L33" s="109"/>
      <c r="M33" s="109"/>
    </row>
    <row r="34" spans="2:4" s="93" customFormat="1" ht="19.5" customHeight="1" thickBot="1">
      <c r="B34" s="73">
        <v>2</v>
      </c>
      <c r="C34" s="74">
        <f>Indices!F6</f>
        <v>376</v>
      </c>
      <c r="D34" s="95">
        <f>ROUNDDOWN($E$7*C34/12,2)-ROUNDDOWN($E$7*C34/12,2)*Intro!$F$7-ROUNDDOWN($E$7*C34/12,2)*0.97*0.075-ROUNDDOWN($E$7*C34/12,2)*0.97*0.005-(ROUNDDOWN($E$7*C34/12,2)-ROUNDDOWN($E$7*C34/12,2)*Intro!$F$7)*0.01</f>
        <v>1448.51625176</v>
      </c>
    </row>
    <row r="35" spans="2:12" s="58" customFormat="1" ht="19.5" customHeight="1" thickTop="1">
      <c r="B35" s="73">
        <v>3</v>
      </c>
      <c r="C35" s="74">
        <f>Indices!F7</f>
        <v>410</v>
      </c>
      <c r="D35" s="95">
        <f>ROUNDDOWN($E$7*C35/12,2)-ROUNDDOWN($E$7*C35/12,2)*Intro!$F$7-ROUNDDOWN($E$7*C35/12,2)*0.97*0.075-ROUNDDOWN($E$7*C35/12,2)*0.97*0.005-(ROUNDDOWN($E$7*C35/12,2)-ROUNDDOWN($E$7*C35/12,2)*Intro!$F$7)*0.01</f>
        <v>1579.49990092</v>
      </c>
      <c r="E35" s="181" t="s">
        <v>50</v>
      </c>
      <c r="F35" s="181"/>
      <c r="G35" s="182"/>
      <c r="H35" s="93"/>
      <c r="I35" s="93"/>
      <c r="J35" s="93"/>
      <c r="K35" s="93"/>
      <c r="L35" s="109"/>
    </row>
    <row r="36" spans="2:11" ht="19.5" customHeight="1" thickBot="1">
      <c r="B36" s="73">
        <v>4</v>
      </c>
      <c r="C36" s="74">
        <f>Indices!F8</f>
        <v>431</v>
      </c>
      <c r="D36" s="95">
        <f>ROUNDDOWN($E$7*C36/12,2)-ROUNDDOWN($E$7*C36/12,2)*Intro!$F$7-ROUNDDOWN($E$7*C36/12,2)*0.97*0.075-ROUNDDOWN($E$7*C36/12,2)*0.97*0.005-(ROUNDDOWN($E$7*C36/12,2)-ROUNDDOWN($E$7*C36/12,2)*Intro!$F$7)*0.01</f>
        <v>1660.4047478</v>
      </c>
      <c r="E36" s="183"/>
      <c r="F36" s="183"/>
      <c r="G36" s="184"/>
      <c r="H36" s="93"/>
      <c r="I36" s="93"/>
      <c r="J36" s="93"/>
      <c r="K36" s="93"/>
    </row>
    <row r="37" spans="2:12" ht="19.5" customHeight="1" thickTop="1">
      <c r="B37" s="73">
        <v>5</v>
      </c>
      <c r="C37" s="74">
        <f>Indices!F9</f>
        <v>453</v>
      </c>
      <c r="D37" s="95">
        <f>ROUNDDOWN($E$7*C37/12,2)-ROUNDDOWN($E$7*C37/12,2)*Intro!$F$7-ROUNDDOWN($E$7*C37/12,2)*0.97*0.075-ROUNDDOWN($E$7*C37/12,2)*0.97*0.005-(ROUNDDOWN($E$7*C37/12,2)-ROUNDDOWN($E$7*C37/12,2)*Intro!$F$7)*0.01</f>
        <v>1745.16181024</v>
      </c>
      <c r="E37" s="150" t="s">
        <v>13</v>
      </c>
      <c r="F37" s="154" t="s">
        <v>14</v>
      </c>
      <c r="G37" s="167" t="s">
        <v>15</v>
      </c>
      <c r="H37" s="96" t="s">
        <v>16</v>
      </c>
      <c r="I37" s="114"/>
      <c r="J37" s="114"/>
      <c r="K37" s="114"/>
      <c r="L37" s="111"/>
    </row>
    <row r="38" spans="2:12" ht="19.5" customHeight="1" thickBot="1">
      <c r="B38" s="73">
        <v>6</v>
      </c>
      <c r="C38" s="74">
        <f>Indices!F10</f>
        <v>467</v>
      </c>
      <c r="D38" s="95">
        <f>ROUNDDOWN($E$7*C38/12,2)-ROUNDDOWN($E$7*C38/12,2)*Intro!$F$7-ROUNDDOWN($E$7*C38/12,2)*0.97*0.075-ROUNDDOWN($E$7*C38/12,2)*0.97*0.005-(ROUNDDOWN($E$7*C38/12,2)-ROUNDDOWN($E$7*C38/12,2)*Intro!$F$7)*0.01</f>
        <v>1799.0928280800001</v>
      </c>
      <c r="E38" s="151"/>
      <c r="F38" s="126"/>
      <c r="G38" s="168" t="s">
        <v>18</v>
      </c>
      <c r="H38" s="115" t="s">
        <v>42</v>
      </c>
      <c r="I38" s="101"/>
      <c r="J38" s="101"/>
      <c r="K38" s="101"/>
      <c r="L38" s="111"/>
    </row>
    <row r="39" spans="2:11" ht="19.5" customHeight="1" thickTop="1">
      <c r="B39" s="73">
        <v>7</v>
      </c>
      <c r="C39" s="74">
        <f>Indices!F11</f>
        <v>495</v>
      </c>
      <c r="D39" s="95">
        <f>ROUNDDOWN($E$7*C39/12,2)-ROUNDDOWN($E$7*C39/12,2)*Intro!$F$7-ROUNDDOWN($E$7*C39/12,2)*0.97*0.075-ROUNDDOWN($E$7*C39/12,2)*0.97*0.005-(ROUNDDOWN($E$7*C39/12,2)-ROUNDDOWN($E$7*C39/12,2)*Intro!$F$7)*0.01</f>
        <v>1906.96318388</v>
      </c>
      <c r="E39" s="97">
        <v>1</v>
      </c>
      <c r="F39" s="98">
        <f>Indices!I5</f>
        <v>495</v>
      </c>
      <c r="G39" s="94">
        <f>ROUNDDOWN($E$7*F39/12,2)-ROUNDDOWN($E$7*F39/12,2)*Intro!$F$7-ROUNDDOWN($E$7*F39/12,2)*0.97*0.075-ROUNDDOWN($E$7*F39/12,2)*0.97*0.005-(ROUNDDOWN($E$7*F39/12,2)-ROUNDDOWN($E$7*F39/12,2)*Intro!$F$7)*0.01</f>
        <v>1906.96318388</v>
      </c>
      <c r="H39" s="146" t="s">
        <v>49</v>
      </c>
      <c r="I39" s="147"/>
      <c r="J39" s="147"/>
      <c r="K39" s="147"/>
    </row>
    <row r="40" spans="2:11" ht="19.5" customHeight="1">
      <c r="B40" s="73">
        <v>8</v>
      </c>
      <c r="C40" s="74">
        <f>Indices!F12</f>
        <v>531</v>
      </c>
      <c r="D40" s="95">
        <f>ROUNDDOWN($E$7*C40/12,2)-ROUNDDOWN($E$7*C40/12,2)*Intro!$F$7-ROUNDDOWN($E$7*C40/12,2)*0.97*0.075-ROUNDDOWN($E$7*C40/12,2)*0.97*0.005-(ROUNDDOWN($E$7*C40/12,2)-ROUNDDOWN($E$7*C40/12,2)*Intro!$F$7)*0.01</f>
        <v>2045.6512641599998</v>
      </c>
      <c r="E40" s="99">
        <v>2</v>
      </c>
      <c r="F40" s="100">
        <f>Indices!I6</f>
        <v>560</v>
      </c>
      <c r="G40" s="95">
        <f>ROUNDDOWN($E$7*F40/12,2)-ROUNDDOWN($E$7*F40/12,2)*Intro!$F$7-ROUNDDOWN($E$7*F40/12,2)*0.97*0.075-ROUNDDOWN($E$7*F40/12,2)*0.97*0.005-(ROUNDDOWN($E$7*F40/12,2)-ROUNDDOWN($E$7*F40/12,2)*Intro!$F$7)*0.01</f>
        <v>2157.3738355200003</v>
      </c>
      <c r="H40" s="146"/>
      <c r="I40" s="147"/>
      <c r="J40" s="147"/>
      <c r="K40" s="147"/>
    </row>
    <row r="41" spans="2:11" ht="19.5" customHeight="1">
      <c r="B41" s="73">
        <v>9</v>
      </c>
      <c r="C41" s="74">
        <f>Indices!F13</f>
        <v>567</v>
      </c>
      <c r="D41" s="95">
        <f>ROUNDDOWN($E$7*C41/12,2)-ROUNDDOWN($E$7*C41/12,2)*Intro!$F$7-ROUNDDOWN($E$7*C41/12,2)*0.97*0.075-ROUNDDOWN($E$7*C41/12,2)*0.97*0.005-(ROUNDDOWN($E$7*C41/12,2)-ROUNDDOWN($E$7*C41/12,2)*Intro!$F$7)*0.01</f>
        <v>2184.33934444</v>
      </c>
      <c r="E41" s="99">
        <v>3</v>
      </c>
      <c r="F41" s="100">
        <f>Indices!I7</f>
        <v>601</v>
      </c>
      <c r="G41" s="95">
        <f>ROUNDDOWN($E$7*F41/12,2)-ROUNDDOWN($E$7*F41/12,2)*Intro!$F$7-ROUNDDOWN($E$7*F41/12,2)*0.97*0.075-ROUNDDOWN($E$7*F41/12,2)*0.97*0.005-(ROUNDDOWN($E$7*F41/12,2)-ROUNDDOWN($E$7*F41/12,2)*Intro!$F$7)*0.01</f>
        <v>2315.3229936000002</v>
      </c>
      <c r="H41" s="115" t="s">
        <v>43</v>
      </c>
      <c r="I41" s="116"/>
      <c r="J41" s="116"/>
      <c r="K41" s="101"/>
    </row>
    <row r="42" spans="2:11" ht="19.5" customHeight="1">
      <c r="B42" s="73">
        <v>10</v>
      </c>
      <c r="C42" s="74">
        <f>Indices!F14</f>
        <v>612</v>
      </c>
      <c r="D42" s="95">
        <f>ROUNDDOWN($E$7*C42/12,2)-ROUNDDOWN($E$7*C42/12,2)*Intro!$F$7-ROUNDDOWN($E$7*C42/12,2)*0.97*0.075-ROUNDDOWN($E$7*C42/12,2)*0.97*0.005-(ROUNDDOWN($E$7*C42/12,2)-ROUNDDOWN($E$7*C42/12,2)*Intro!$F$7)*0.01</f>
        <v>2357.69736476</v>
      </c>
      <c r="E42" s="99">
        <v>4</v>
      </c>
      <c r="F42" s="100">
        <f>Indices!I8</f>
        <v>642</v>
      </c>
      <c r="G42" s="95">
        <f>ROUNDDOWN($E$7*F42/12,2)-ROUNDDOWN($E$7*F42/12,2)*Intro!$F$7-ROUNDDOWN($E$7*F42/12,2)*0.97*0.075-ROUNDDOWN($E$7*F42/12,2)*0.97*0.005-(ROUNDDOWN($E$7*F42/12,2)-ROUNDDOWN($E$7*F42/12,2)*Intro!$F$7)*0.01</f>
        <v>2473.2721516799998</v>
      </c>
      <c r="H42" s="115" t="s">
        <v>44</v>
      </c>
      <c r="I42" s="101"/>
      <c r="J42" s="101"/>
      <c r="K42" s="101"/>
    </row>
    <row r="43" spans="2:11" ht="19.5" customHeight="1" thickBot="1">
      <c r="B43" s="78">
        <v>11</v>
      </c>
      <c r="C43" s="79">
        <f>Indices!F15</f>
        <v>658</v>
      </c>
      <c r="D43" s="102">
        <f>ROUNDDOWN($E$7*C43/12,2)-ROUNDDOWN($E$7*C43/12,2)*Intro!$F$7-ROUNDDOWN($E$7*C43/12,2)*0.97*0.075-ROUNDDOWN($E$7*C43/12,2)*0.97*0.005-(ROUNDDOWN($E$7*C43/12,2)-ROUNDDOWN($E$7*C43/12,2)*Intro!$F$7)*0.01</f>
        <v>2534.91592076</v>
      </c>
      <c r="E43" s="99">
        <v>5</v>
      </c>
      <c r="F43" s="100">
        <f>Indices!I9</f>
        <v>695</v>
      </c>
      <c r="G43" s="95">
        <f>ROUNDDOWN($E$7*F43/12,2)-ROUNDDOWN($E$7*F43/12,2)*Intro!$F$7-ROUNDDOWN($E$7*F43/12,2)*0.97*0.075-ROUNDDOWN($E$7*F43/12,2)*0.97*0.005-(ROUNDDOWN($E$7*F43/12,2)-ROUNDDOWN($E$7*F43/12,2)*Intro!$F$7)*0.01</f>
        <v>2677.4562166000005</v>
      </c>
      <c r="H43" s="146" t="s">
        <v>46</v>
      </c>
      <c r="I43" s="147"/>
      <c r="J43" s="147"/>
      <c r="K43" s="147"/>
    </row>
    <row r="44" spans="5:11" ht="19.5" customHeight="1" thickTop="1">
      <c r="E44" s="73">
        <v>6</v>
      </c>
      <c r="F44" s="100">
        <f>Indices!I10</f>
        <v>741</v>
      </c>
      <c r="G44" s="95">
        <f>ROUNDDOWN($E$7*F44/12,2)-ROUNDDOWN($E$7*F44/12,2)*Intro!$F$7-ROUNDDOWN($E$7*F44/12,2)*0.97*0.075-ROUNDDOWN($E$7*F44/12,2)*0.97*0.005-(ROUNDDOWN($E$7*F44/12,2)-ROUNDDOWN($E$7*F44/12,2)*Intro!$F$7)*0.01</f>
        <v>2854.6664524800003</v>
      </c>
      <c r="H44" s="146"/>
      <c r="I44" s="147"/>
      <c r="J44" s="147"/>
      <c r="K44" s="147"/>
    </row>
    <row r="45" spans="3:9" ht="19.5" customHeight="1" thickBot="1">
      <c r="C45" s="58"/>
      <c r="D45" s="58"/>
      <c r="E45" s="78">
        <v>7</v>
      </c>
      <c r="F45" s="103">
        <f>Indices!I11</f>
        <v>783</v>
      </c>
      <c r="G45" s="102">
        <f>ROUNDDOWN($E$7*F45/12,2)-ROUNDDOWN($E$7*F45/12,2)*Intro!$F$7-ROUNDDOWN($E$7*F45/12,2)*0.97*0.075-ROUNDDOWN($E$7*F45/12,2)*0.97*0.005-(ROUNDDOWN($E$7*F45/12,2)-ROUNDDOWN($E$7*F45/12,2)*Intro!$F$7)*0.01</f>
        <v>3016.4678261200006</v>
      </c>
      <c r="I45" s="118"/>
    </row>
    <row r="46" spans="3:9" ht="15" thickTop="1">
      <c r="C46" s="93"/>
      <c r="D46" s="93"/>
      <c r="I46" s="119"/>
    </row>
    <row r="47" spans="3:5" ht="14.25">
      <c r="C47" s="93"/>
      <c r="D47" s="93"/>
      <c r="E47" s="93"/>
    </row>
    <row r="48" spans="3:5" ht="14.25">
      <c r="C48" s="93"/>
      <c r="D48" s="93"/>
      <c r="E48" s="93"/>
    </row>
    <row r="49" spans="3:5" ht="14.25">
      <c r="C49" s="58"/>
      <c r="D49" s="58"/>
      <c r="E49" s="58"/>
    </row>
  </sheetData>
  <sheetProtection password="CD3F" sheet="1" objects="1" scenarios="1" selectLockedCells="1"/>
  <mergeCells count="32">
    <mergeCell ref="H43:K44"/>
    <mergeCell ref="G37:G38"/>
    <mergeCell ref="B4:H5"/>
    <mergeCell ref="H14:H15"/>
    <mergeCell ref="D31:D32"/>
    <mergeCell ref="E35:G36"/>
    <mergeCell ref="E37:E38"/>
    <mergeCell ref="H39:K40"/>
    <mergeCell ref="F27:J27"/>
    <mergeCell ref="F28:G28"/>
    <mergeCell ref="I28:J28"/>
    <mergeCell ref="C30:D30"/>
    <mergeCell ref="E14:E15"/>
    <mergeCell ref="F14:G14"/>
    <mergeCell ref="I14:J14"/>
    <mergeCell ref="B2:C2"/>
    <mergeCell ref="C12:J12"/>
    <mergeCell ref="C13:D13"/>
    <mergeCell ref="E13:G13"/>
    <mergeCell ref="H13:J13"/>
    <mergeCell ref="E7:F7"/>
    <mergeCell ref="E8:F8"/>
    <mergeCell ref="E9:F9"/>
    <mergeCell ref="I4:J4"/>
    <mergeCell ref="I5:J5"/>
    <mergeCell ref="G7:J9"/>
    <mergeCell ref="B31:B32"/>
    <mergeCell ref="C31:C32"/>
    <mergeCell ref="F37:F38"/>
    <mergeCell ref="D14:D15"/>
    <mergeCell ref="B14:B15"/>
    <mergeCell ref="C14:C15"/>
  </mergeCells>
  <conditionalFormatting sqref="B16:J26">
    <cfRule type="expression" priority="1" dxfId="0" stopIfTrue="1">
      <formula>(EVEN(ROW())=ROW())</formula>
    </cfRule>
  </conditionalFormatting>
  <conditionalFormatting sqref="B33:D43 E39:G4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9"/>
  <sheetViews>
    <sheetView showGridLines="0" showRowColHeaders="0" zoomScale="85" zoomScaleNormal="85" zoomScaleSheetLayoutView="100" workbookViewId="0" topLeftCell="A2">
      <selection activeCell="B2" sqref="B2:C2"/>
    </sheetView>
  </sheetViews>
  <sheetFormatPr defaultColWidth="11.19921875" defaultRowHeight="15"/>
  <cols>
    <col min="1" max="1" width="2.59765625" style="52" customWidth="1"/>
    <col min="2" max="2" width="8.09765625" style="52" customWidth="1"/>
    <col min="3" max="3" width="8.59765625" style="52" customWidth="1"/>
    <col min="4" max="4" width="12.59765625" style="52" customWidth="1"/>
    <col min="5" max="5" width="8.59765625" style="52" customWidth="1"/>
    <col min="6" max="7" width="12.59765625" style="52" customWidth="1"/>
    <col min="8" max="8" width="8.59765625" style="52" customWidth="1"/>
    <col min="9" max="10" width="12.59765625" style="52" customWidth="1"/>
    <col min="11" max="11" width="8.5" style="52" customWidth="1"/>
    <col min="12" max="12" width="8.8984375" style="52" customWidth="1"/>
    <col min="13" max="14" width="11" style="52" customWidth="1"/>
    <col min="15" max="15" width="11.09765625" style="52" customWidth="1"/>
    <col min="16" max="16384" width="11" style="52" customWidth="1"/>
  </cols>
  <sheetData>
    <row r="2" spans="2:10" ht="24" customHeight="1">
      <c r="B2" s="155" t="s">
        <v>33</v>
      </c>
      <c r="C2" s="155"/>
      <c r="D2" s="104"/>
      <c r="E2" s="104"/>
      <c r="F2" s="104"/>
      <c r="G2" s="104"/>
      <c r="H2" s="104"/>
      <c r="I2" s="104"/>
      <c r="J2" s="104"/>
    </row>
    <row r="3" ht="10.5" customHeight="1" thickBot="1">
      <c r="B3" s="53"/>
    </row>
    <row r="4" spans="2:10" s="54" customFormat="1" ht="36" customHeight="1" thickTop="1">
      <c r="B4" s="163" t="s">
        <v>52</v>
      </c>
      <c r="C4" s="164"/>
      <c r="D4" s="164"/>
      <c r="E4" s="164"/>
      <c r="F4" s="164"/>
      <c r="G4" s="164"/>
      <c r="H4" s="164"/>
      <c r="I4" s="170" t="s">
        <v>19</v>
      </c>
      <c r="J4" s="171"/>
    </row>
    <row r="5" spans="2:10" s="54" customFormat="1" ht="36" customHeight="1" thickBot="1">
      <c r="B5" s="165"/>
      <c r="C5" s="166"/>
      <c r="D5" s="166"/>
      <c r="E5" s="166"/>
      <c r="F5" s="166"/>
      <c r="G5" s="166"/>
      <c r="H5" s="166"/>
      <c r="I5" s="172">
        <v>38898</v>
      </c>
      <c r="J5" s="173"/>
    </row>
    <row r="6" spans="2:8" s="56" customFormat="1" ht="9.75" customHeight="1" thickTop="1">
      <c r="B6" s="55"/>
      <c r="C6" s="55"/>
      <c r="D6" s="55"/>
      <c r="E6" s="55"/>
      <c r="F6" s="55"/>
      <c r="G6" s="55"/>
      <c r="H6" s="55"/>
    </row>
    <row r="7" spans="2:11" s="58" customFormat="1" ht="18" customHeight="1">
      <c r="B7" s="57"/>
      <c r="D7" s="59" t="s">
        <v>4</v>
      </c>
      <c r="E7" s="156">
        <f>Intro!F2</f>
        <v>55.5635</v>
      </c>
      <c r="F7" s="157"/>
      <c r="G7" s="169" t="s">
        <v>32</v>
      </c>
      <c r="H7" s="169"/>
      <c r="I7" s="169"/>
      <c r="J7" s="169"/>
      <c r="K7" s="105"/>
    </row>
    <row r="8" spans="2:10" s="58" customFormat="1" ht="18" customHeight="1">
      <c r="B8" s="57"/>
      <c r="D8" s="59" t="s">
        <v>2</v>
      </c>
      <c r="E8" s="158">
        <f>ROUNDDOWN(E7/12,2)</f>
        <v>4.63</v>
      </c>
      <c r="F8" s="158"/>
      <c r="G8" s="169"/>
      <c r="H8" s="169"/>
      <c r="I8" s="169"/>
      <c r="J8" s="169"/>
    </row>
    <row r="9" spans="2:11" s="58" customFormat="1" ht="18" customHeight="1">
      <c r="B9" s="57"/>
      <c r="D9" s="59" t="s">
        <v>3</v>
      </c>
      <c r="E9" s="158">
        <f>ROUNDDOWN($E$7/12,2)+ROUNDDOWN($E$7/12,2)*0.03-ROUNDDOWN($E$7/12,2)*Intro!$F$7-(ROUNDDOWN($E$7/12,2)+ROUNDDOWN($E$7/12,2)*0.03)*0.97*0.075-(ROUNDDOWN($E$7/12,2)+ROUNDDOWN($E$7/12,2)*0.03)*0.97*0.005-(ROUNDDOWN($E$7/12,2)+ROUNDDOWN($E$7/12,2)*0.03-ROUNDDOWN($E$7/12,2)*Intro!$F$7-ROUNDDOWN($E$7/12,2)*0.03*0.05)*0.01</f>
        <v>3.9790173699999998</v>
      </c>
      <c r="F9" s="158"/>
      <c r="G9" s="169"/>
      <c r="H9" s="169"/>
      <c r="I9" s="169"/>
      <c r="J9" s="169"/>
      <c r="K9" s="105"/>
    </row>
    <row r="10" spans="2:7" s="58" customFormat="1" ht="18" customHeight="1">
      <c r="B10" s="57"/>
      <c r="D10" s="107" t="s">
        <v>20</v>
      </c>
      <c r="E10" s="106"/>
      <c r="F10" s="106"/>
      <c r="G10" s="109"/>
    </row>
    <row r="11" s="58" customFormat="1" ht="22.5" customHeight="1" thickBot="1">
      <c r="J11" s="107" t="s">
        <v>39</v>
      </c>
    </row>
    <row r="12" spans="2:10" s="63" customFormat="1" ht="19.5" customHeight="1" thickBot="1" thickTop="1">
      <c r="B12" s="62"/>
      <c r="C12" s="177" t="s">
        <v>12</v>
      </c>
      <c r="D12" s="178"/>
      <c r="E12" s="178"/>
      <c r="F12" s="178"/>
      <c r="G12" s="178"/>
      <c r="H12" s="178"/>
      <c r="I12" s="178"/>
      <c r="J12" s="179"/>
    </row>
    <row r="13" spans="2:10" s="63" customFormat="1" ht="19.5" customHeight="1" thickBot="1" thickTop="1">
      <c r="B13" s="62"/>
      <c r="C13" s="160" t="s">
        <v>26</v>
      </c>
      <c r="D13" s="161"/>
      <c r="E13" s="160" t="s">
        <v>0</v>
      </c>
      <c r="F13" s="161"/>
      <c r="G13" s="161"/>
      <c r="H13" s="160" t="s">
        <v>1</v>
      </c>
      <c r="I13" s="161"/>
      <c r="J13" s="162"/>
    </row>
    <row r="14" spans="2:10" s="64" customFormat="1" ht="19.5" customHeight="1" thickTop="1">
      <c r="B14" s="148" t="s">
        <v>13</v>
      </c>
      <c r="C14" s="152" t="s">
        <v>14</v>
      </c>
      <c r="D14" s="167" t="s">
        <v>15</v>
      </c>
      <c r="E14" s="152" t="s">
        <v>14</v>
      </c>
      <c r="F14" s="180" t="s">
        <v>15</v>
      </c>
      <c r="G14" s="150"/>
      <c r="H14" s="152" t="s">
        <v>14</v>
      </c>
      <c r="I14" s="180" t="s">
        <v>15</v>
      </c>
      <c r="J14" s="150"/>
    </row>
    <row r="15" spans="2:10" s="64" customFormat="1" ht="43.5" thickBot="1">
      <c r="B15" s="149"/>
      <c r="C15" s="153"/>
      <c r="D15" s="168" t="s">
        <v>18</v>
      </c>
      <c r="E15" s="159"/>
      <c r="F15" s="65" t="s">
        <v>27</v>
      </c>
      <c r="G15" s="65" t="s">
        <v>28</v>
      </c>
      <c r="H15" s="159"/>
      <c r="I15" s="65" t="s">
        <v>27</v>
      </c>
      <c r="J15" s="65" t="s">
        <v>28</v>
      </c>
    </row>
    <row r="16" spans="2:10" ht="19.5" customHeight="1" thickTop="1">
      <c r="B16" s="67">
        <v>1</v>
      </c>
      <c r="C16" s="68">
        <f>Indices!C5</f>
        <v>341</v>
      </c>
      <c r="D16" s="71">
        <f>ROUNDDOWN($E$7*C16/12/2,2)+ROUNDDOWN($E$7*C16/12/2,2)*0.03-ROUNDDOWN($E$7*C16/12/2,2)*Intro!$F$7-(ROUNDDOWN($E$7*C16/12/2,2)+ROUNDDOWN($E$7*C16/12/2,2)*0.03)*0.97*0.075-(ROUNDDOWN($E$7*C16/12/2,2)+ROUNDDOWN($E$7*C16/12/2,2)*0.03)*0.97*0.005-ROUND((($E$7*C16/12/2)*0.03)*0.05,2)</f>
        <v>684.7596891200001</v>
      </c>
      <c r="E16" s="70">
        <f>C16</f>
        <v>341</v>
      </c>
      <c r="F16" s="71">
        <f>ROUNDDOWN($E$7*E16/12/2,2)+ROUNDDOWN($E$7*E16/12/2,2)*0.03-ROUNDDOWN($E$7*E16/12/2,2)*Intro!$F$7-(ROUNDDOWN($E$7*E16/12/2,2)+ROUNDDOWN($E$7*E16/12/2,2)*0.03+ROUNDDOWN($F$28,2))*0.97*0.075-(ROUNDDOWN($E$7*E16/12/2,2)+ROUNDDOWN($E$7*E16/12/2,2)*0.03+ROUNDDOWN($F$28,2))*0.97*0.005-ROUND((($E$7*E16/12/2)*0.03+$F$28)*0.05,2)</f>
        <v>660.8729691200001</v>
      </c>
      <c r="G16" s="71">
        <f aca="true" t="shared" si="0" ref="G16:G26">F16+$F$28</f>
        <v>848.0729691200002</v>
      </c>
      <c r="H16" s="70">
        <f>C16</f>
        <v>341</v>
      </c>
      <c r="I16" s="71">
        <f>ROUNDDOWN($E$7*H16/12/2,2)+ROUNDDOWN($E$7*H16/12/2,2)*0.03-ROUNDDOWN($E$7*H16/12/2,2)*Intro!$F$7-(ROUNDDOWN($E$7*H16/12/2,2)+ROUNDDOWN($E$7*H16/12/2,2)*0.03+ROUNDDOWN($J$28,2))*0.97*0.075-(ROUNDDOWN($E$7*H16/12/2,2)+ROUNDDOWN($E$7*H16/12/2,2)*0.03+ROUNDDOWN($J$28,2))*0.97*0.005-ROUND((($E$7*H16/12/2)*0.03+$J$28)*0.05,2)</f>
        <v>684.7596891200001</v>
      </c>
      <c r="J16" s="71">
        <f aca="true" t="shared" si="1" ref="J16:J26">I16+$J$28</f>
        <v>684.7596891200001</v>
      </c>
    </row>
    <row r="17" spans="2:10" ht="19.5" customHeight="1">
      <c r="B17" s="73">
        <v>2</v>
      </c>
      <c r="C17" s="74">
        <f>Indices!C6</f>
        <v>357</v>
      </c>
      <c r="D17" s="76">
        <f>ROUNDDOWN($E$7*C17/12/2,2)+ROUNDDOWN($E$7*C17/12/2,2)*0.03-ROUNDDOWN($E$7*C17/12/2,2)*Intro!$F$7-(ROUNDDOWN($E$7*C17/12/2,2)+ROUNDDOWN($E$7*C17/12/2,2)*0.03)*0.97*0.075-(ROUNDDOWN($E$7*C17/12/2,2)+ROUNDDOWN($E$7*C17/12/2,2)*0.03)*0.97*0.005-ROUND((($E$7*C17/12/2)*0.03)*0.05,2)</f>
        <v>716.8827079999999</v>
      </c>
      <c r="E17" s="74">
        <f aca="true" t="shared" si="2" ref="E17:E26">C17</f>
        <v>357</v>
      </c>
      <c r="F17" s="76">
        <f>ROUNDDOWN($E$7*E17/12/2,2)+ROUNDDOWN($E$7*E17/12/2,2)*0.03-ROUNDDOWN($E$7*E17/12/2,2)*Intro!$F$7-(ROUNDDOWN($E$7*E17/12/2,2)+ROUNDDOWN($E$7*E17/12/2,2)*0.03+ROUNDDOWN($F$28,2))*0.97*0.075-(ROUNDDOWN($E$7*E17/12/2,2)+ROUNDDOWN($E$7*E17/12/2,2)*0.03+ROUNDDOWN($F$28,2))*0.97*0.005-ROUND((($E$7*E17/12/2)*0.03+$F$28)*0.05,2)</f>
        <v>692.9959879999999</v>
      </c>
      <c r="G17" s="76">
        <f t="shared" si="0"/>
        <v>880.1959879999999</v>
      </c>
      <c r="H17" s="74">
        <f aca="true" t="shared" si="3" ref="H17:H26">C17</f>
        <v>357</v>
      </c>
      <c r="I17" s="76">
        <f>ROUNDDOWN($E$7*H17/12/2,2)+ROUNDDOWN($E$7*H17/12/2,2)*0.03-ROUNDDOWN($E$7*H17/12/2,2)*Intro!$F$7-(ROUNDDOWN($E$7*H17/12/2,2)+ROUNDDOWN($E$7*H17/12/2,2)*0.03+ROUNDDOWN($J$28,2))*0.97*0.075-(ROUNDDOWN($E$7*H17/12/2,2)+ROUNDDOWN($E$7*H17/12/2,2)*0.03+ROUNDDOWN($J$28,2))*0.97*0.005-ROUND((($E$7*H17/12/2)*0.03+$J$28)*0.05,2)</f>
        <v>716.8827079999999</v>
      </c>
      <c r="J17" s="76">
        <f t="shared" si="1"/>
        <v>716.8827079999999</v>
      </c>
    </row>
    <row r="18" spans="2:10" ht="19.5" customHeight="1">
      <c r="B18" s="73">
        <v>3</v>
      </c>
      <c r="C18" s="74">
        <f>Indices!C7</f>
        <v>366</v>
      </c>
      <c r="D18" s="76">
        <f>ROUNDDOWN($E$7*C18/12/2,2)+ROUNDDOWN($E$7*C18/12/2,2)*0.03-ROUNDDOWN($E$7*C18/12/2,2)*Intro!$F$7-(ROUNDDOWN($E$7*C18/12/2,2)+ROUNDDOWN($E$7*C18/12/2,2)*0.03)*0.97*0.075-(ROUNDDOWN($E$7*C18/12/2,2)+ROUNDDOWN($E$7*C18/12/2,2)*0.03)*0.97*0.005-ROUND((($E$7*C18/12/2)*0.03)*0.05,2)</f>
        <v>734.9600004800002</v>
      </c>
      <c r="E18" s="74">
        <f t="shared" si="2"/>
        <v>366</v>
      </c>
      <c r="F18" s="76">
        <f>ROUNDDOWN($E$7*E18/12/2,2)+ROUNDDOWN($E$7*E18/12/2,2)*0.03-ROUNDDOWN($E$7*E18/12/2,2)*Intro!$F$7-(ROUNDDOWN($E$7*E18/12/2,2)+ROUNDDOWN($E$7*E18/12/2,2)*0.03+ROUNDDOWN($F$28,2))*0.97*0.075-(ROUNDDOWN($E$7*E18/12/2,2)+ROUNDDOWN($E$7*E18/12/2,2)*0.03+ROUNDDOWN($F$28,2))*0.97*0.005-ROUND((($E$7*E18/12/2)*0.03+$F$28)*0.05,2)</f>
        <v>711.0732804800001</v>
      </c>
      <c r="G18" s="76">
        <f t="shared" si="0"/>
        <v>898.27328048</v>
      </c>
      <c r="H18" s="74">
        <f t="shared" si="3"/>
        <v>366</v>
      </c>
      <c r="I18" s="76">
        <f>ROUNDDOWN($E$7*H18/12/2,2)+ROUNDDOWN($E$7*H18/12/2,2)*0.03-ROUNDDOWN($E$7*H18/12/2,2)*Intro!$F$7-(ROUNDDOWN($E$7*H18/12/2,2)+ROUNDDOWN($E$7*H18/12/2,2)*0.03+ROUNDDOWN($J$28,2))*0.97*0.075-(ROUNDDOWN($E$7*H18/12/2,2)+ROUNDDOWN($E$7*H18/12/2,2)*0.03+ROUNDDOWN($J$28,2))*0.97*0.005-ROUND((($E$7*H18/12/2)*0.03+$J$28)*0.05,2)</f>
        <v>734.9600004800002</v>
      </c>
      <c r="J18" s="76">
        <f t="shared" si="1"/>
        <v>734.9600004800002</v>
      </c>
    </row>
    <row r="19" spans="2:10" ht="19.5" customHeight="1">
      <c r="B19" s="73">
        <v>4</v>
      </c>
      <c r="C19" s="74">
        <f>Indices!C8</f>
        <v>373</v>
      </c>
      <c r="D19" s="76">
        <f>ROUNDDOWN($E$7*C19/12/2,2)+ROUNDDOWN($E$7*C19/12/2,2)*0.03-ROUNDDOWN($E$7*C19/12/2,2)*Intro!$F$7-(ROUNDDOWN($E$7*C19/12/2,2)+ROUNDDOWN($E$7*C19/12/2,2)*0.03)*0.97*0.075-(ROUNDDOWN($E$7*C19/12/2,2)+ROUNDDOWN($E$7*C19/12/2,2)*0.03)*0.97*0.005-ROUND((($E$7*C19/12/2)*0.03)*0.05,2)</f>
        <v>749.00572688</v>
      </c>
      <c r="E19" s="74">
        <f t="shared" si="2"/>
        <v>373</v>
      </c>
      <c r="F19" s="76">
        <f>ROUNDDOWN($E$7*E19/12/2,2)+ROUNDDOWN($E$7*E19/12/2,2)*0.03-ROUNDDOWN($E$7*E19/12/2,2)*Intro!$F$7-(ROUNDDOWN($E$7*E19/12/2,2)+ROUNDDOWN($E$7*E19/12/2,2)*0.03+ROUNDDOWN($F$28,2))*0.97*0.075-(ROUNDDOWN($E$7*E19/12/2,2)+ROUNDDOWN($E$7*E19/12/2,2)*0.03+ROUNDDOWN($F$28,2))*0.97*0.005-ROUND((($E$7*E19/12/2)*0.03+$F$28)*0.05,2)</f>
        <v>725.1190068799999</v>
      </c>
      <c r="G19" s="76">
        <f t="shared" si="0"/>
        <v>912.31900688</v>
      </c>
      <c r="H19" s="74">
        <f t="shared" si="3"/>
        <v>373</v>
      </c>
      <c r="I19" s="76">
        <f>ROUNDDOWN($E$7*H19/12/2,2)+ROUNDDOWN($E$7*H19/12/2,2)*0.03-ROUNDDOWN($E$7*H19/12/2,2)*Intro!$F$7-(ROUNDDOWN($E$7*H19/12/2,2)+ROUNDDOWN($E$7*H19/12/2,2)*0.03+ROUNDDOWN($J$28,2))*0.97*0.075-(ROUNDDOWN($E$7*H19/12/2,2)+ROUNDDOWN($E$7*H19/12/2,2)*0.03+ROUNDDOWN($J$28,2))*0.97*0.005-ROUND((($E$7*H19/12/2)*0.03+$J$28)*0.05,2)</f>
        <v>749.00572688</v>
      </c>
      <c r="J19" s="76">
        <f t="shared" si="1"/>
        <v>749.00572688</v>
      </c>
    </row>
    <row r="20" spans="2:10" ht="19.5" customHeight="1">
      <c r="B20" s="73">
        <v>5</v>
      </c>
      <c r="C20" s="74">
        <f>Indices!C9</f>
        <v>383</v>
      </c>
      <c r="D20" s="76">
        <f>ROUNDDOWN($E$7*C20/12/2,2)+ROUNDDOWN($E$7*C20/12/2,2)*0.03-ROUNDDOWN($E$7*C20/12/2,2)*Intro!$F$7-(ROUNDDOWN($E$7*C20/12/2,2)+ROUNDDOWN($E$7*C20/12/2,2)*0.03)*0.97*0.075-(ROUNDDOWN($E$7*C20/12/2,2)+ROUNDDOWN($E$7*C20/12/2,2)*0.03)*0.97*0.005-ROUND((($E$7*C20/12/2)*0.03)*0.05,2)</f>
        <v>769.0988024</v>
      </c>
      <c r="E20" s="74">
        <f t="shared" si="2"/>
        <v>383</v>
      </c>
      <c r="F20" s="76">
        <f>ROUNDDOWN($E$7*E20/12/2,2)+ROUNDDOWN($E$7*E20/12/2,2)*0.03-ROUNDDOWN($E$7*E20/12/2,2)*Intro!$F$7-(ROUNDDOWN($E$7*E20/12/2,2)+ROUNDDOWN($E$7*E20/12/2,2)*0.03+ROUNDDOWN($F$28,2))*0.97*0.075-(ROUNDDOWN($E$7*E20/12/2,2)+ROUNDDOWN($E$7*E20/12/2,2)*0.03+ROUNDDOWN($F$28,2))*0.97*0.005-ROUND((($E$7*E20/12/2)*0.03+$F$28)*0.05,2)</f>
        <v>745.2120824</v>
      </c>
      <c r="G20" s="76">
        <f t="shared" si="0"/>
        <v>932.4120823999999</v>
      </c>
      <c r="H20" s="74">
        <f t="shared" si="3"/>
        <v>383</v>
      </c>
      <c r="I20" s="76">
        <f>ROUNDDOWN($E$7*H20/12/2,2)+ROUNDDOWN($E$7*H20/12/2,2)*0.03-ROUNDDOWN($E$7*H20/12/2,2)*Intro!$F$7-(ROUNDDOWN($E$7*H20/12/2,2)+ROUNDDOWN($E$7*H20/12/2,2)*0.03+ROUNDDOWN($J$28,2))*0.97*0.075-(ROUNDDOWN($E$7*H20/12/2,2)+ROUNDDOWN($E$7*H20/12/2,2)*0.03+ROUNDDOWN($J$28,2))*0.97*0.005-ROUND((($E$7*H20/12/2)*0.03+$J$28)*0.05,2)</f>
        <v>769.0988024</v>
      </c>
      <c r="J20" s="76">
        <f t="shared" si="1"/>
        <v>769.0988024</v>
      </c>
    </row>
    <row r="21" spans="2:10" ht="19.5" customHeight="1">
      <c r="B21" s="73">
        <v>6</v>
      </c>
      <c r="C21" s="74">
        <f>Indices!C10</f>
        <v>390</v>
      </c>
      <c r="D21" s="76">
        <f>ROUNDDOWN($E$7*C21/12/2,2)+ROUNDDOWN($E$7*C21/12/2,2)*0.03-ROUNDDOWN($E$7*C21/12/2,2)*Intro!$F$7-(ROUNDDOWN($E$7*C21/12/2,2)+ROUNDDOWN($E$7*C21/12/2,2)*0.03)*0.97*0.075-(ROUNDDOWN($E$7*C21/12/2,2)+ROUNDDOWN($E$7*C21/12/2,2)*0.03)*0.97*0.005-ROUND((($E$7*C21/12/2)*0.03)*0.05,2)</f>
        <v>783.1545288</v>
      </c>
      <c r="E21" s="74">
        <f t="shared" si="2"/>
        <v>390</v>
      </c>
      <c r="F21" s="76">
        <f>ROUNDDOWN($E$7*E21/12/2,2)+ROUNDDOWN($E$7*E21/12/2,2)*0.03-ROUNDDOWN($E$7*E21/12/2,2)*Intro!$F$7-(ROUNDDOWN($E$7*E21/12/2,2)+ROUNDDOWN($E$7*E21/12/2,2)*0.03+ROUNDDOWN($F$28,2))*0.97*0.075-(ROUNDDOWN($E$7*E21/12/2,2)+ROUNDDOWN($E$7*E21/12/2,2)*0.03+ROUNDDOWN($F$28,2))*0.97*0.005-ROUND((($E$7*E21/12/2)*0.03+$F$28)*0.05,2)</f>
        <v>759.2678088</v>
      </c>
      <c r="G21" s="76">
        <f t="shared" si="0"/>
        <v>946.4678088000001</v>
      </c>
      <c r="H21" s="74">
        <f t="shared" si="3"/>
        <v>390</v>
      </c>
      <c r="I21" s="76">
        <f>ROUNDDOWN($E$7*H21/12/2,2)+ROUNDDOWN($E$7*H21/12/2,2)*0.03-ROUNDDOWN($E$7*H21/12/2,2)*Intro!$F$7-(ROUNDDOWN($E$7*H21/12/2,2)+ROUNDDOWN($E$7*H21/12/2,2)*0.03+ROUNDDOWN($J$28,2))*0.97*0.075-(ROUNDDOWN($E$7*H21/12/2,2)+ROUNDDOWN($E$7*H21/12/2,2)*0.03+ROUNDDOWN($J$28,2))*0.97*0.005-ROUND((($E$7*H21/12/2)*0.03+$J$28)*0.05,2)</f>
        <v>783.1545288</v>
      </c>
      <c r="J21" s="76">
        <f t="shared" si="1"/>
        <v>783.1545288</v>
      </c>
    </row>
    <row r="22" spans="2:10" ht="19.5" customHeight="1">
      <c r="B22" s="73">
        <v>7</v>
      </c>
      <c r="C22" s="74">
        <f>Indices!C11</f>
        <v>399</v>
      </c>
      <c r="D22" s="76">
        <f>ROUNDDOWN($E$7*C22/12/2,2)+ROUNDDOWN($E$7*C22/12/2,2)*0.03-ROUNDDOWN($E$7*C22/12/2,2)*Intro!$F$7-(ROUNDDOWN($E$7*C22/12/2,2)+ROUNDDOWN($E$7*C22/12/2,2)*0.03)*0.97*0.075-(ROUNDDOWN($E$7*C22/12/2,2)+ROUNDDOWN($E$7*C22/12/2,2)*0.03)*0.97*0.005-ROUND((($E$7*C22/12/2)*0.03)*0.05,2)</f>
        <v>801.22182128</v>
      </c>
      <c r="E22" s="74">
        <f t="shared" si="2"/>
        <v>399</v>
      </c>
      <c r="F22" s="76">
        <f>ROUNDDOWN($E$7*E22/12/2,2)+ROUNDDOWN($E$7*E22/12/2,2)*0.03-ROUNDDOWN($E$7*E22/12/2,2)*Intro!$F$7-(ROUNDDOWN($E$7*E22/12/2,2)+ROUNDDOWN($E$7*E22/12/2,2)*0.03+ROUNDDOWN($F$28,2))*0.97*0.075-(ROUNDDOWN($E$7*E22/12/2,2)+ROUNDDOWN($E$7*E22/12/2,2)*0.03+ROUNDDOWN($F$28,2))*0.97*0.005-ROUND((($E$7*E22/12/2)*0.03+$F$28)*0.05,2)</f>
        <v>777.33510128</v>
      </c>
      <c r="G22" s="76">
        <f t="shared" si="0"/>
        <v>964.5351012799999</v>
      </c>
      <c r="H22" s="74">
        <f t="shared" si="3"/>
        <v>399</v>
      </c>
      <c r="I22" s="76">
        <f>ROUNDDOWN($E$7*H22/12/2,2)+ROUNDDOWN($E$7*H22/12/2,2)*0.03-ROUNDDOWN($E$7*H22/12/2,2)*Intro!$F$7-(ROUNDDOWN($E$7*H22/12/2,2)+ROUNDDOWN($E$7*H22/12/2,2)*0.03+ROUNDDOWN($J$28,2))*0.97*0.075-(ROUNDDOWN($E$7*H22/12/2,2)+ROUNDDOWN($E$7*H22/12/2,2)*0.03+ROUNDDOWN($J$28,2))*0.97*0.005-ROUND((($E$7*H22/12/2)*0.03+$J$28)*0.05,2)</f>
        <v>801.22182128</v>
      </c>
      <c r="J22" s="76">
        <f t="shared" si="1"/>
        <v>801.22182128</v>
      </c>
    </row>
    <row r="23" spans="2:10" ht="19.5" customHeight="1">
      <c r="B23" s="73">
        <v>8</v>
      </c>
      <c r="C23" s="74">
        <f>Indices!C12</f>
        <v>420</v>
      </c>
      <c r="D23" s="76">
        <f>ROUNDDOWN($E$7*C23/12/2,2)+ROUNDDOWN($E$7*C23/12/2,2)*0.03-ROUNDDOWN($E$7*C23/12/2,2)*Intro!$F$7-(ROUNDDOWN($E$7*C23/12/2,2)+ROUNDDOWN($E$7*C23/12/2,2)*0.03)*0.97*0.075-(ROUNDDOWN($E$7*C23/12/2,2)+ROUNDDOWN($E$7*C23/12/2,2)*0.03)*0.97*0.005-ROUND((($E$7*C23/12/2)*0.03)*0.05,2)</f>
        <v>843.39637792</v>
      </c>
      <c r="E23" s="74">
        <f t="shared" si="2"/>
        <v>420</v>
      </c>
      <c r="F23" s="76">
        <f>ROUNDDOWN($E$7*E23/12/2,2)+ROUNDDOWN($E$7*E23/12/2,2)*0.03-ROUNDDOWN($E$7*E23/12/2,2)*Intro!$F$7-(ROUNDDOWN($E$7*E23/12/2,2)+ROUNDDOWN($E$7*E23/12/2,2)*0.03+ROUNDDOWN($F$28,2))*0.97*0.075-(ROUNDDOWN($E$7*E23/12/2,2)+ROUNDDOWN($E$7*E23/12/2,2)*0.03+ROUNDDOWN($F$28,2))*0.97*0.005-ROUND((($E$7*E23/12/2)*0.03+$F$28)*0.05,2)</f>
        <v>819.5096579199999</v>
      </c>
      <c r="G23" s="76">
        <f t="shared" si="0"/>
        <v>1006.7096579199999</v>
      </c>
      <c r="H23" s="74">
        <f t="shared" si="3"/>
        <v>420</v>
      </c>
      <c r="I23" s="76">
        <f>ROUNDDOWN($E$7*H23/12/2,2)+ROUNDDOWN($E$7*H23/12/2,2)*0.03-ROUNDDOWN($E$7*H23/12/2,2)*Intro!$F$7-(ROUNDDOWN($E$7*H23/12/2,2)+ROUNDDOWN($E$7*H23/12/2,2)*0.03+ROUNDDOWN($J$28,2))*0.97*0.075-(ROUNDDOWN($E$7*H23/12/2,2)+ROUNDDOWN($E$7*H23/12/2,2)*0.03+ROUNDDOWN($J$28,2))*0.97*0.005-ROUND((($E$7*H23/12/2)*0.03+$J$28)*0.05,2)</f>
        <v>843.39637792</v>
      </c>
      <c r="J23" s="76">
        <f t="shared" si="1"/>
        <v>843.39637792</v>
      </c>
    </row>
    <row r="24" spans="2:10" ht="19.5" customHeight="1">
      <c r="B24" s="73">
        <v>9</v>
      </c>
      <c r="C24" s="74">
        <f>Indices!C13</f>
        <v>441</v>
      </c>
      <c r="D24" s="76">
        <f>ROUNDDOWN($E$7*C24/12/2,2)+ROUNDDOWN($E$7*C24/12/2,2)*0.03-ROUNDDOWN($E$7*C24/12/2,2)*Intro!$F$7-(ROUNDDOWN($E$7*C24/12/2,2)+ROUNDDOWN($E$7*C24/12/2,2)*0.03)*0.97*0.075-(ROUNDDOWN($E$7*C24/12/2,2)+ROUNDDOWN($E$7*C24/12/2,2)*0.03)*0.97*0.005-ROUND((($E$7*C24/12/2)*0.03)*0.05,2)</f>
        <v>885.5622458400002</v>
      </c>
      <c r="E24" s="74">
        <f t="shared" si="2"/>
        <v>441</v>
      </c>
      <c r="F24" s="76">
        <f>ROUNDDOWN($E$7*E24/12/2,2)+ROUNDDOWN($E$7*E24/12/2,2)*0.03-ROUNDDOWN($E$7*E24/12/2,2)*Intro!$F$7-(ROUNDDOWN($E$7*E24/12/2,2)+ROUNDDOWN($E$7*E24/12/2,2)*0.03+ROUNDDOWN($F$28,2))*0.97*0.075-(ROUNDDOWN($E$7*E24/12/2,2)+ROUNDDOWN($E$7*E24/12/2,2)*0.03+ROUNDDOWN($F$28,2))*0.97*0.005-ROUND((($E$7*E24/12/2)*0.03+$F$28)*0.05,2)</f>
        <v>861.6755258400002</v>
      </c>
      <c r="G24" s="76">
        <f t="shared" si="0"/>
        <v>1048.8755258400001</v>
      </c>
      <c r="H24" s="74">
        <f t="shared" si="3"/>
        <v>441</v>
      </c>
      <c r="I24" s="76">
        <f>ROUNDDOWN($E$7*H24/12/2,2)+ROUNDDOWN($E$7*H24/12/2,2)*0.03-ROUNDDOWN($E$7*H24/12/2,2)*Intro!$F$7-(ROUNDDOWN($E$7*H24/12/2,2)+ROUNDDOWN($E$7*H24/12/2,2)*0.03+ROUNDDOWN($J$28,2))*0.97*0.075-(ROUNDDOWN($E$7*H24/12/2,2)+ROUNDDOWN($E$7*H24/12/2,2)*0.03+ROUNDDOWN($J$28,2))*0.97*0.005-ROUND((($E$7*H24/12/2)*0.03+$J$28)*0.05,2)</f>
        <v>885.5622458400002</v>
      </c>
      <c r="J24" s="76">
        <f t="shared" si="1"/>
        <v>885.5622458400002</v>
      </c>
    </row>
    <row r="25" spans="2:10" ht="19.5" customHeight="1">
      <c r="B25" s="73">
        <v>10</v>
      </c>
      <c r="C25" s="74">
        <f>Indices!C14</f>
        <v>469</v>
      </c>
      <c r="D25" s="76">
        <f>ROUNDDOWN($E$7*C25/12/2,2)+ROUNDDOWN($E$7*C25/12/2,2)*0.03-ROUNDDOWN($E$7*C25/12/2,2)*Intro!$F$7-(ROUNDDOWN($E$7*C25/12/2,2)+ROUNDDOWN($E$7*C25/12/2,2)*0.03)*0.97*0.075-(ROUNDDOWN($E$7*C25/12/2,2)+ROUNDDOWN($E$7*C25/12/2,2)*0.03)*0.97*0.005-ROUND((($E$7*C25/12/2)*0.03)*0.05,2)</f>
        <v>941.7912176000001</v>
      </c>
      <c r="E25" s="74">
        <f t="shared" si="2"/>
        <v>469</v>
      </c>
      <c r="F25" s="76">
        <f>ROUNDDOWN($E$7*E25/12/2,2)+ROUNDDOWN($E$7*E25/12/2,2)*0.03-ROUNDDOWN($E$7*E25/12/2,2)*Intro!$F$7-(ROUNDDOWN($E$7*E25/12/2,2)+ROUNDDOWN($E$7*E25/12/2,2)*0.03+ROUNDDOWN($F$28,2))*0.97*0.075-(ROUNDDOWN($E$7*E25/12/2,2)+ROUNDDOWN($E$7*E25/12/2,2)*0.03+ROUNDDOWN($F$28,2))*0.97*0.005-ROUND((($E$7*E25/12/2)*0.03+$F$28)*0.05,2)</f>
        <v>917.9044975999999</v>
      </c>
      <c r="G25" s="76">
        <f t="shared" si="0"/>
        <v>1105.1044975999998</v>
      </c>
      <c r="H25" s="74">
        <f t="shared" si="3"/>
        <v>469</v>
      </c>
      <c r="I25" s="76">
        <f>ROUNDDOWN($E$7*H25/12/2,2)+ROUNDDOWN($E$7*H25/12/2,2)*0.03-ROUNDDOWN($E$7*H25/12/2,2)*Intro!$F$7-(ROUNDDOWN($E$7*H25/12/2,2)+ROUNDDOWN($E$7*H25/12/2,2)*0.03+ROUNDDOWN($J$28,2))*0.97*0.075-(ROUNDDOWN($E$7*H25/12/2,2)+ROUNDDOWN($E$7*H25/12/2,2)*0.03+ROUNDDOWN($J$28,2))*0.97*0.005-ROUND((($E$7*H25/12/2)*0.03+$J$28)*0.05,2)</f>
        <v>941.7912176000001</v>
      </c>
      <c r="J25" s="76">
        <f t="shared" si="1"/>
        <v>941.7912176000001</v>
      </c>
    </row>
    <row r="26" spans="2:10" ht="19.5" customHeight="1" thickBot="1">
      <c r="B26" s="78">
        <v>11</v>
      </c>
      <c r="C26" s="79">
        <f>Indices!C15</f>
        <v>515</v>
      </c>
      <c r="D26" s="81">
        <f>ROUNDDOWN($E$7*C26/12/2,2)+ROUNDDOWN($E$7*C26/12/2,2)*0.03-ROUNDDOWN($E$7*C26/12/2,2)*Intro!$F$7-(ROUNDDOWN($E$7*C26/12/2,2)+ROUNDDOWN($E$7*C26/12/2,2)*0.03)*0.97*0.075-(ROUNDDOWN($E$7*C26/12/2,2)+ROUNDDOWN($E$7*C26/12/2,2)*0.03)*0.97*0.005-ROUND((($E$7*C26/12/2)*0.03)*0.05,2)</f>
        <v>1034.1660856</v>
      </c>
      <c r="E26" s="79">
        <f t="shared" si="2"/>
        <v>515</v>
      </c>
      <c r="F26" s="81">
        <f>ROUNDDOWN($E$7*E26/12/2,2)+ROUNDDOWN($E$7*E26/12/2,2)*0.03-ROUNDDOWN($E$7*E26/12/2,2)*Intro!$F$7-(ROUNDDOWN($E$7*E26/12/2,2)+ROUNDDOWN($E$7*E26/12/2,2)*0.03+ROUNDDOWN($F$28,2))*0.97*0.075-(ROUNDDOWN($E$7*E26/12/2,2)+ROUNDDOWN($E$7*E26/12/2,2)*0.03+ROUNDDOWN($F$28,2))*0.97*0.005-ROUND((($E$7*E26/12/2)*0.03+$F$28)*0.05,2)</f>
        <v>1010.2793656000001</v>
      </c>
      <c r="G26" s="81">
        <f t="shared" si="0"/>
        <v>1197.4793656000002</v>
      </c>
      <c r="H26" s="79">
        <f t="shared" si="3"/>
        <v>515</v>
      </c>
      <c r="I26" s="81">
        <f>ROUNDDOWN($E$7*H26/12/2,2)+ROUNDDOWN($E$7*H26/12/2,2)*0.03-ROUNDDOWN($E$7*H26/12/2,2)*Intro!$F$7-(ROUNDDOWN($E$7*H26/12/2,2)+ROUNDDOWN($E$7*H26/12/2,2)*0.03+ROUNDDOWN($J$28,2))*0.97*0.075-(ROUNDDOWN($E$7*H26/12/2,2)+ROUNDDOWN($E$7*H26/12/2,2)*0.03+ROUNDDOWN($J$28,2))*0.97*0.005-ROUND((($E$7*H26/12/2)*0.03+$J$28)*0.05,2)</f>
        <v>1034.1660856</v>
      </c>
      <c r="J26" s="81">
        <f t="shared" si="1"/>
        <v>1034.1660856</v>
      </c>
    </row>
    <row r="27" spans="3:11" ht="19.5" customHeight="1" thickBot="1" thickTop="1">
      <c r="C27" s="83"/>
      <c r="D27" s="83"/>
      <c r="E27" s="83"/>
      <c r="F27" s="176" t="s">
        <v>10</v>
      </c>
      <c r="G27" s="176"/>
      <c r="H27" s="176"/>
      <c r="I27" s="176"/>
      <c r="J27" s="176"/>
      <c r="K27" s="117"/>
    </row>
    <row r="28" spans="3:10" s="86" customFormat="1" ht="16.5" thickBot="1" thickTop="1">
      <c r="C28" s="120" t="s">
        <v>9</v>
      </c>
      <c r="D28" s="122">
        <f>Intro!H4</f>
        <v>38717</v>
      </c>
      <c r="F28" s="174">
        <f>Intro!C4</f>
        <v>187.2</v>
      </c>
      <c r="G28" s="175"/>
      <c r="H28" s="121"/>
      <c r="I28" s="174">
        <f>Intro!F4</f>
        <v>234</v>
      </c>
      <c r="J28" s="175"/>
    </row>
    <row r="29" spans="3:11" s="86" customFormat="1" ht="39.75" customHeight="1" thickBot="1" thickTop="1">
      <c r="C29" s="87"/>
      <c r="D29" s="87"/>
      <c r="E29" s="88"/>
      <c r="F29" s="89"/>
      <c r="G29" s="89"/>
      <c r="H29" s="90"/>
      <c r="I29" s="91"/>
      <c r="J29" s="91"/>
      <c r="K29" s="91"/>
    </row>
    <row r="30" spans="3:12" ht="19.5" customHeight="1" thickBot="1" thickTop="1">
      <c r="C30" s="177" t="s">
        <v>17</v>
      </c>
      <c r="D30" s="179"/>
      <c r="E30" s="86"/>
      <c r="H30" s="86"/>
      <c r="K30" s="108"/>
      <c r="L30" s="108"/>
    </row>
    <row r="31" spans="2:12" s="58" customFormat="1" ht="19.5" customHeight="1" thickTop="1">
      <c r="B31" s="148" t="s">
        <v>13</v>
      </c>
      <c r="C31" s="152" t="s">
        <v>14</v>
      </c>
      <c r="D31" s="167" t="s">
        <v>15</v>
      </c>
      <c r="J31" s="109"/>
      <c r="K31" s="109"/>
      <c r="L31" s="109"/>
    </row>
    <row r="32" spans="2:4" s="93" customFormat="1" ht="19.5" customHeight="1" thickBot="1">
      <c r="B32" s="149"/>
      <c r="C32" s="153"/>
      <c r="D32" s="168" t="s">
        <v>18</v>
      </c>
    </row>
    <row r="33" spans="2:12" s="93" customFormat="1" ht="19.5" customHeight="1" thickTop="1">
      <c r="B33" s="67">
        <v>1</v>
      </c>
      <c r="C33" s="68">
        <f>Indices!F5</f>
        <v>349</v>
      </c>
      <c r="D33" s="94">
        <f>ROUNDDOWN($E$7*C33/12/2,2)+ROUNDDOWN($E$7*C33/12/2,2)*0.03-ROUNDDOWN($E$7*C33/12/2,2)*Intro!$F$7-(ROUNDDOWN($E$7*C33/12/2,2)+ROUNDDOWN($E$7*C33/12/2,2)*0.03)*0.97*0.075-(ROUNDDOWN($E$7*C33/12/2,2)+ROUNDDOWN($E$7*C33/12/2,2)*0.03)*0.97*0.005-ROUND((($E$7*C33/12/2)*0.03)*0.05,2)</f>
        <v>700.82119856</v>
      </c>
      <c r="J33" s="109"/>
      <c r="K33" s="109"/>
      <c r="L33" s="109"/>
    </row>
    <row r="34" spans="2:4" s="93" customFormat="1" ht="19.5" customHeight="1" thickBot="1">
      <c r="B34" s="73">
        <v>2</v>
      </c>
      <c r="C34" s="74">
        <f>Indices!F6</f>
        <v>376</v>
      </c>
      <c r="D34" s="95">
        <f>ROUNDDOWN($E$7*C34/12/2,2)+ROUNDDOWN($E$7*C34/12/2,2)*0.03-ROUNDDOWN($E$7*C34/12/2,2)*Intro!$F$7-(ROUNDDOWN($E$7*C34/12/2,2)+ROUNDDOWN($E$7*C34/12/2,2)*0.03)*0.97*0.075-(ROUNDDOWN($E$7*C34/12/2,2)+ROUNDDOWN($E$7*C34/12/2,2)*0.03)*0.97*0.005-ROUND((($E$7*C34/12/2)*0.03)*0.05,2)</f>
        <v>755.0343872800001</v>
      </c>
    </row>
    <row r="35" spans="2:11" s="58" customFormat="1" ht="19.5" customHeight="1" thickTop="1">
      <c r="B35" s="73">
        <v>3</v>
      </c>
      <c r="C35" s="74">
        <f>Indices!F7</f>
        <v>410</v>
      </c>
      <c r="D35" s="95">
        <f>ROUNDDOWN($E$7*C35/12/2,2)+ROUNDDOWN($E$7*C35/12/2,2)*0.03-ROUNDDOWN($E$7*C35/12/2,2)*Intro!$F$7-(ROUNDDOWN($E$7*C35/12/2,2)+ROUNDDOWN($E$7*C35/12/2,2)*0.03)*0.97*0.075-(ROUNDDOWN($E$7*C35/12/2,2)+ROUNDDOWN($E$7*C35/12/2,2)*0.03)*0.97*0.005-ROUND((($E$7*C35/12/2)*0.03)*0.05,2)</f>
        <v>823.3133024</v>
      </c>
      <c r="E35" s="181" t="s">
        <v>50</v>
      </c>
      <c r="F35" s="181"/>
      <c r="G35" s="182"/>
      <c r="H35" s="93"/>
      <c r="I35" s="93"/>
      <c r="J35" s="93"/>
      <c r="K35" s="109"/>
    </row>
    <row r="36" spans="2:10" ht="19.5" customHeight="1" thickBot="1">
      <c r="B36" s="73">
        <v>4</v>
      </c>
      <c r="C36" s="74">
        <f>Indices!F8</f>
        <v>431</v>
      </c>
      <c r="D36" s="95">
        <f>ROUNDDOWN($E$7*C36/12/2,2)+ROUNDDOWN($E$7*C36/12/2,2)*0.03-ROUNDDOWN($E$7*C36/12/2,2)*Intro!$F$7-(ROUNDDOWN($E$7*C36/12/2,2)+ROUNDDOWN($E$7*C36/12/2,2)*0.03)*0.97*0.075-(ROUNDDOWN($E$7*C36/12/2,2)+ROUNDDOWN($E$7*C36/12/2,2)*0.03)*0.97*0.005-ROUND((($E$7*C36/12/2)*0.03)*0.05,2)</f>
        <v>865.47785904</v>
      </c>
      <c r="E36" s="183"/>
      <c r="F36" s="183"/>
      <c r="G36" s="184"/>
      <c r="H36" s="93"/>
      <c r="I36" s="93"/>
      <c r="J36" s="93"/>
    </row>
    <row r="37" spans="2:11" ht="19.5" customHeight="1" thickTop="1">
      <c r="B37" s="73">
        <v>5</v>
      </c>
      <c r="C37" s="74">
        <f>Indices!F9</f>
        <v>453</v>
      </c>
      <c r="D37" s="95">
        <f>ROUNDDOWN($E$7*C37/12/2,2)+ROUNDDOWN($E$7*C37/12/2,2)*0.03-ROUNDDOWN($E$7*C37/12/2,2)*Intro!$F$7-(ROUNDDOWN($E$7*C37/12/2,2)+ROUNDDOWN($E$7*C37/12/2,2)*0.03)*0.97*0.075-(ROUNDDOWN($E$7*C37/12/2,2)+ROUNDDOWN($E$7*C37/12/2,2)*0.03)*0.97*0.005-ROUND((($E$7*C37/12/2)*0.03)*0.05,2)</f>
        <v>909.66819872</v>
      </c>
      <c r="E37" s="150" t="s">
        <v>13</v>
      </c>
      <c r="F37" s="154" t="s">
        <v>14</v>
      </c>
      <c r="G37" s="167" t="s">
        <v>15</v>
      </c>
      <c r="H37" s="96" t="s">
        <v>16</v>
      </c>
      <c r="I37" s="114"/>
      <c r="J37" s="114"/>
      <c r="K37" s="114"/>
    </row>
    <row r="38" spans="2:11" ht="19.5" customHeight="1" thickBot="1">
      <c r="B38" s="73">
        <v>6</v>
      </c>
      <c r="C38" s="74">
        <f>Indices!F10</f>
        <v>467</v>
      </c>
      <c r="D38" s="95">
        <f>ROUNDDOWN($E$7*C38/12/2,2)+ROUNDDOWN($E$7*C38/12/2,2)*0.03-ROUNDDOWN($E$7*C38/12/2,2)*Intro!$F$7-(ROUNDDOWN($E$7*C38/12/2,2)+ROUNDDOWN($E$7*C38/12/2,2)*0.03)*0.97*0.075-(ROUNDDOWN($E$7*C38/12/2,2)+ROUNDDOWN($E$7*C38/12/2,2)*0.03)*0.97*0.005-ROUND((($E$7*C38/12/2)*0.03)*0.05,2)</f>
        <v>937.7783402400001</v>
      </c>
      <c r="E38" s="151"/>
      <c r="F38" s="126"/>
      <c r="G38" s="168" t="s">
        <v>18</v>
      </c>
      <c r="H38" s="115" t="s">
        <v>42</v>
      </c>
      <c r="I38" s="101"/>
      <c r="J38" s="101"/>
      <c r="K38" s="101"/>
    </row>
    <row r="39" spans="2:11" ht="19.5" customHeight="1" thickTop="1">
      <c r="B39" s="73">
        <v>7</v>
      </c>
      <c r="C39" s="74">
        <f>Indices!F11</f>
        <v>495</v>
      </c>
      <c r="D39" s="95">
        <f>ROUNDDOWN($E$7*C39/12/2,2)+ROUNDDOWN($E$7*C39/12/2,2)*0.03-ROUNDDOWN($E$7*C39/12/2,2)*Intro!$F$7-(ROUNDDOWN($E$7*C39/12/2,2)+ROUNDDOWN($E$7*C39/12/2,2)*0.03)*0.97*0.075-(ROUNDDOWN($E$7*C39/12/2,2)+ROUNDDOWN($E$7*C39/12/2,2)*0.03)*0.97*0.005-ROUND((($E$7*C39/12/2)*0.03)*0.05,2)</f>
        <v>993.99862328</v>
      </c>
      <c r="E39" s="97">
        <v>1</v>
      </c>
      <c r="F39" s="98">
        <f>Indices!I5</f>
        <v>495</v>
      </c>
      <c r="G39" s="94">
        <f>ROUNDDOWN($E$7*F39/12/2,2)+ROUNDDOWN($E$7*F39/12/2,2)*0.03-ROUNDDOWN($E$7*F39/12/2,2)*Intro!$F$7-(ROUNDDOWN($E$7*F39/12/2,2)+ROUNDDOWN($E$7*F39/12/2,2)*0.03)*0.97*0.075-(ROUNDDOWN($E$7*F39/12/2,2)+ROUNDDOWN($E$7*F39/12/2,2)*0.03)*0.97*0.005-ROUND((($E$7*F39/12/2)*0.03)*0.05,2)</f>
        <v>993.99862328</v>
      </c>
      <c r="H39" s="146" t="s">
        <v>49</v>
      </c>
      <c r="I39" s="147"/>
      <c r="J39" s="147"/>
      <c r="K39" s="147"/>
    </row>
    <row r="40" spans="2:11" ht="19.5" customHeight="1">
      <c r="B40" s="73">
        <v>8</v>
      </c>
      <c r="C40" s="74">
        <f>Indices!F12</f>
        <v>531</v>
      </c>
      <c r="D40" s="95">
        <f>ROUNDDOWN($E$7*C40/12/2,2)+ROUNDDOWN($E$7*C40/12/2,2)*0.03-ROUNDDOWN($E$7*C40/12/2,2)*Intro!$F$7-(ROUNDDOWN($E$7*C40/12/2,2)+ROUNDDOWN($E$7*C40/12/2,2)*0.03)*0.97*0.075-(ROUNDDOWN($E$7*C40/12/2,2)+ROUNDDOWN($E$7*C40/12/2,2)*0.03)*0.97*0.005-ROUND((($E$7*C40/12/2)*0.03)*0.05,2)</f>
        <v>1066.29910448</v>
      </c>
      <c r="E40" s="99">
        <v>2</v>
      </c>
      <c r="F40" s="100">
        <f>Indices!I6</f>
        <v>560</v>
      </c>
      <c r="G40" s="95">
        <f>ROUNDDOWN($E$7*F40/12/2,2)+ROUNDDOWN($E$7*F40/12/2,2)*0.03-ROUNDDOWN($E$7*F40/12/2,2)*Intro!$F$7-(ROUNDDOWN($E$7*F40/12/2,2)+ROUNDDOWN($E$7*F40/12/2,2)*0.03)*0.97*0.075-(ROUNDDOWN($E$7*F40/12/2,2)+ROUNDDOWN($E$7*F40/12/2,2)*0.03)*0.97*0.005-ROUND((($E$7*F40/12/2)*0.03)*0.05,2)</f>
        <v>1124.53517056</v>
      </c>
      <c r="H40" s="146"/>
      <c r="I40" s="147"/>
      <c r="J40" s="147"/>
      <c r="K40" s="147"/>
    </row>
    <row r="41" spans="2:11" ht="19.5" customHeight="1">
      <c r="B41" s="73">
        <v>9</v>
      </c>
      <c r="C41" s="74">
        <f>Indices!F13</f>
        <v>567</v>
      </c>
      <c r="D41" s="95">
        <f>ROUNDDOWN($E$7*C41/12/2,2)+ROUNDDOWN($E$7*C41/12/2,2)*0.03-ROUNDDOWN($E$7*C41/12/2,2)*Intro!$F$7-(ROUNDDOWN($E$7*C41/12/2,2)+ROUNDDOWN($E$7*C41/12/2,2)*0.03)*0.97*0.075-(ROUNDDOWN($E$7*C41/12/2,2)+ROUNDDOWN($E$7*C41/12/2,2)*0.03)*0.97*0.005-ROUND((($E$7*C41/12/2)*0.03)*0.05,2)</f>
        <v>1138.58089696</v>
      </c>
      <c r="E41" s="99">
        <v>3</v>
      </c>
      <c r="F41" s="100">
        <f>Indices!I7</f>
        <v>601</v>
      </c>
      <c r="G41" s="123">
        <f>ROUNDDOWN($E$7*F41/12/2,2)+ROUNDDOWN($E$7*F41/12/2,2)*0.03-ROUNDDOWN($E$7*F41/12/2,2)*Intro!$F$7-(ROUNDDOWN($E$7*F41/12/2,2)+ROUNDDOWN($E$7*F41/12/2,2)*0.03)*0.97*0.075-(ROUNDDOWN($E$7*F41/12/2,2)+ROUNDDOWN($E$7*F41/12/2,2)*0.03)*0.97*0.005-ROUND((($E$7*F41/12/2)*0.03)*0.05,2)</f>
        <v>1206.8585008</v>
      </c>
      <c r="H41" s="115" t="s">
        <v>43</v>
      </c>
      <c r="I41" s="116"/>
      <c r="J41" s="116"/>
      <c r="K41" s="101"/>
    </row>
    <row r="42" spans="2:11" ht="19.5" customHeight="1">
      <c r="B42" s="73">
        <v>10</v>
      </c>
      <c r="C42" s="74">
        <f>Indices!F14</f>
        <v>612</v>
      </c>
      <c r="D42" s="123">
        <f>ROUNDDOWN($E$7*C42/12/2,2)+ROUNDDOWN($E$7*C42/12/2,2)*0.03-ROUNDDOWN($E$7*C42/12/2,2)*Intro!$F$7-(ROUNDDOWN($E$7*C42/12/2,2)+ROUNDDOWN($E$7*C42/12/2,2)*0.03)*0.97*0.075-(ROUNDDOWN($E$7*C42/12/2,2)+ROUNDDOWN($E$7*C42/12/2,2)*0.03)*0.97*0.005-ROUND((($E$7*C42/12/2)*0.03)*0.05,2)</f>
        <v>1228.9399819199998</v>
      </c>
      <c r="E42" s="99">
        <v>4</v>
      </c>
      <c r="F42" s="100">
        <f>Indices!I8</f>
        <v>642</v>
      </c>
      <c r="G42" s="123">
        <f>ROUNDDOWN($E$7*F42/12/2,2)+ROUNDDOWN($E$7*F42/12/2,2)*0.03-ROUNDDOWN($E$7*F42/12/2,2)*Intro!$F$7-(ROUNDDOWN($E$7*F42/12/2,2)+ROUNDDOWN($E$7*F42/12/2,2)*0.03)*0.97*0.075-(ROUNDDOWN($E$7*F42/12/2,2)+ROUNDDOWN($E$7*F42/12/2,2)*0.03)*0.97*0.005-ROUND((($E$7*F42/12/2)*0.03)*0.05,2)</f>
        <v>1289.19183104</v>
      </c>
      <c r="H42" s="115" t="s">
        <v>44</v>
      </c>
      <c r="I42" s="101"/>
      <c r="J42" s="101"/>
      <c r="K42" s="101"/>
    </row>
    <row r="43" spans="2:11" ht="19.5" customHeight="1" thickBot="1">
      <c r="B43" s="78">
        <v>11</v>
      </c>
      <c r="C43" s="79">
        <f>Indices!F15</f>
        <v>658</v>
      </c>
      <c r="D43" s="124">
        <f>ROUNDDOWN($E$7*C43/12/2,2)+ROUNDDOWN($E$7*C43/12/2,2)*0.03-ROUNDDOWN($E$7*C43/12/2,2)*Intro!$F$7-(ROUNDDOWN($E$7*C43/12/2,2)+ROUNDDOWN($E$7*C43/12/2,2)*0.03)*0.97*0.075-(ROUNDDOWN($E$7*C43/12/2,2)+ROUNDDOWN($E$7*C43/12/2,2)*0.03)*0.97*0.005-ROUND((($E$7*C43/12/2)*0.03)*0.05,2)</f>
        <v>1321.31484992</v>
      </c>
      <c r="E43" s="99">
        <v>5</v>
      </c>
      <c r="F43" s="100">
        <f>Indices!I9</f>
        <v>695</v>
      </c>
      <c r="G43" s="123">
        <f>ROUNDDOWN($E$7*F43/12/2,2)+ROUNDDOWN($E$7*F43/12/2,2)*0.03-ROUNDDOWN($E$7*F43/12/2,2)*Intro!$F$7-(ROUNDDOWN($E$7*F43/12/2,2)+ROUNDDOWN($E$7*F43/12/2,2)*0.03)*0.97*0.075-(ROUNDDOWN($E$7*F43/12/2,2)+ROUNDDOWN($E$7*F43/12/2,2)*0.03)*0.97*0.005-ROUND((($E$7*F43/12/2)*0.03)*0.05,2)</f>
        <v>1395.62242544</v>
      </c>
      <c r="H43" s="146" t="s">
        <v>46</v>
      </c>
      <c r="I43" s="147"/>
      <c r="J43" s="147"/>
      <c r="K43" s="147"/>
    </row>
    <row r="44" spans="5:11" ht="19.5" customHeight="1" thickTop="1">
      <c r="E44" s="73">
        <v>6</v>
      </c>
      <c r="F44" s="100">
        <f>Indices!I10</f>
        <v>741</v>
      </c>
      <c r="G44" s="123">
        <f>ROUNDDOWN($E$7*F44/12/2,2)+ROUNDDOWN($E$7*F44/12/2,2)*0.03-ROUNDDOWN($E$7*F44/12/2,2)*Intro!$F$7-(ROUNDDOWN($E$7*F44/12/2,2)+ROUNDDOWN($E$7*F44/12/2,2)*0.03)*0.97*0.075-(ROUNDDOWN($E$7*F44/12/2,2)+ROUNDDOWN($E$7*F44/12/2,2)*0.03)*0.97*0.005-ROUND((($E$7*F44/12/2)*0.03)*0.05,2)</f>
        <v>1487.99729344</v>
      </c>
      <c r="H44" s="146"/>
      <c r="I44" s="147"/>
      <c r="J44" s="147"/>
      <c r="K44" s="147"/>
    </row>
    <row r="45" spans="3:9" ht="19.5" customHeight="1" thickBot="1">
      <c r="C45" s="58"/>
      <c r="D45" s="58"/>
      <c r="E45" s="78">
        <v>7</v>
      </c>
      <c r="F45" s="103">
        <f>Indices!I11</f>
        <v>783</v>
      </c>
      <c r="G45" s="124">
        <f>ROUNDDOWN($E$7*F45/12/2,2)+ROUNDDOWN($E$7*F45/12/2,2)*0.03-ROUNDDOWN($E$7*F45/12/2,2)*Intro!$F$7-(ROUNDDOWN($E$7*F45/12/2,2)+ROUNDDOWN($E$7*F45/12/2,2)*0.03)*0.97*0.075-(ROUNDDOWN($E$7*F45/12/2,2)+ROUNDDOWN($E$7*F45/12/2,2)*0.03)*0.97*0.005-ROUND((($E$7*F45/12/2)*0.03)*0.05,2)</f>
        <v>1572.327718</v>
      </c>
      <c r="I45" s="118"/>
    </row>
    <row r="46" spans="3:9" ht="15" thickTop="1">
      <c r="C46" s="93"/>
      <c r="D46" s="93"/>
      <c r="I46" s="119"/>
    </row>
    <row r="47" spans="3:5" ht="14.25">
      <c r="C47" s="93"/>
      <c r="D47" s="93"/>
      <c r="E47" s="93"/>
    </row>
    <row r="48" spans="2:5" ht="14.25">
      <c r="B48" s="125" t="s">
        <v>31</v>
      </c>
      <c r="C48" s="93"/>
      <c r="D48" s="93"/>
      <c r="E48" s="93"/>
    </row>
    <row r="49" spans="3:5" ht="14.25">
      <c r="C49" s="58"/>
      <c r="D49" s="58"/>
      <c r="E49" s="58"/>
    </row>
  </sheetData>
  <sheetProtection password="CD3F" sheet="1" objects="1" scenarios="1" selectLockedCells="1"/>
  <mergeCells count="32">
    <mergeCell ref="E35:G36"/>
    <mergeCell ref="B4:H5"/>
    <mergeCell ref="F27:J27"/>
    <mergeCell ref="F28:G28"/>
    <mergeCell ref="I28:J28"/>
    <mergeCell ref="C30:D30"/>
    <mergeCell ref="D14:D15"/>
    <mergeCell ref="E14:E15"/>
    <mergeCell ref="F14:G14"/>
    <mergeCell ref="I4:J4"/>
    <mergeCell ref="B2:C2"/>
    <mergeCell ref="E7:F7"/>
    <mergeCell ref="E8:F8"/>
    <mergeCell ref="E9:F9"/>
    <mergeCell ref="I5:J5"/>
    <mergeCell ref="G7:J9"/>
    <mergeCell ref="H14:H15"/>
    <mergeCell ref="I14:J14"/>
    <mergeCell ref="C12:J12"/>
    <mergeCell ref="C13:D13"/>
    <mergeCell ref="E13:G13"/>
    <mergeCell ref="H13:J13"/>
    <mergeCell ref="B14:B15"/>
    <mergeCell ref="C14:C15"/>
    <mergeCell ref="H39:K40"/>
    <mergeCell ref="H43:K44"/>
    <mergeCell ref="B31:B32"/>
    <mergeCell ref="E37:E38"/>
    <mergeCell ref="C31:C32"/>
    <mergeCell ref="F37:F38"/>
    <mergeCell ref="D31:D32"/>
    <mergeCell ref="G37:G38"/>
  </mergeCells>
  <conditionalFormatting sqref="B16:J26">
    <cfRule type="expression" priority="1" dxfId="0" stopIfTrue="1">
      <formula>(EVEN(ROW())=ROW())</formula>
    </cfRule>
  </conditionalFormatting>
  <conditionalFormatting sqref="B33:D43 E39:G4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9"/>
  <sheetViews>
    <sheetView showGridLines="0" showRowColHeaders="0" zoomScale="85" zoomScaleNormal="85" zoomScaleSheetLayoutView="100" workbookViewId="0" topLeftCell="A2">
      <selection activeCell="C29" sqref="C29"/>
    </sheetView>
  </sheetViews>
  <sheetFormatPr defaultColWidth="11.19921875" defaultRowHeight="15"/>
  <cols>
    <col min="1" max="1" width="2.59765625" style="52" customWidth="1"/>
    <col min="2" max="2" width="8.09765625" style="52" customWidth="1"/>
    <col min="3" max="3" width="8.59765625" style="52" customWidth="1"/>
    <col min="4" max="4" width="12.59765625" style="52" customWidth="1"/>
    <col min="5" max="5" width="8.59765625" style="52" customWidth="1"/>
    <col min="6" max="7" width="12.59765625" style="52" customWidth="1"/>
    <col min="8" max="8" width="8.59765625" style="52" customWidth="1"/>
    <col min="9" max="10" width="12.59765625" style="52" customWidth="1"/>
    <col min="11" max="11" width="8.5" style="52" customWidth="1"/>
    <col min="12" max="12" width="8.8984375" style="52" customWidth="1"/>
    <col min="13" max="14" width="11" style="52" customWidth="1"/>
    <col min="15" max="15" width="11.09765625" style="52" customWidth="1"/>
    <col min="16" max="16384" width="11" style="52" customWidth="1"/>
  </cols>
  <sheetData>
    <row r="2" spans="2:10" ht="24" customHeight="1">
      <c r="B2" s="155" t="s">
        <v>56</v>
      </c>
      <c r="C2" s="155"/>
      <c r="D2" s="104"/>
      <c r="E2" s="104"/>
      <c r="F2" s="104"/>
      <c r="G2" s="104"/>
      <c r="H2" s="104"/>
      <c r="I2" s="104"/>
      <c r="J2" s="104"/>
    </row>
    <row r="3" ht="10.5" customHeight="1" thickBot="1">
      <c r="B3" s="53"/>
    </row>
    <row r="4" spans="2:10" s="54" customFormat="1" ht="36" customHeight="1" thickTop="1">
      <c r="B4" s="163" t="s">
        <v>53</v>
      </c>
      <c r="C4" s="164"/>
      <c r="D4" s="164"/>
      <c r="E4" s="164"/>
      <c r="F4" s="164"/>
      <c r="G4" s="164"/>
      <c r="H4" s="164"/>
      <c r="I4" s="170" t="s">
        <v>19</v>
      </c>
      <c r="J4" s="171"/>
    </row>
    <row r="5" spans="2:10" s="54" customFormat="1" ht="36" customHeight="1" thickBot="1">
      <c r="B5" s="165"/>
      <c r="C5" s="166"/>
      <c r="D5" s="166"/>
      <c r="E5" s="166"/>
      <c r="F5" s="166"/>
      <c r="G5" s="166"/>
      <c r="H5" s="166"/>
      <c r="I5" s="172">
        <v>38898</v>
      </c>
      <c r="J5" s="173"/>
    </row>
    <row r="6" spans="2:8" s="56" customFormat="1" ht="9.75" customHeight="1" thickTop="1">
      <c r="B6" s="55"/>
      <c r="C6" s="55"/>
      <c r="D6" s="55"/>
      <c r="E6" s="55"/>
      <c r="F6" s="55"/>
      <c r="G6" s="55"/>
      <c r="H6" s="55"/>
    </row>
    <row r="7" spans="2:11" s="58" customFormat="1" ht="18" customHeight="1">
      <c r="B7" s="57"/>
      <c r="D7" s="59" t="s">
        <v>4</v>
      </c>
      <c r="E7" s="156">
        <f>Intro!F2</f>
        <v>55.5635</v>
      </c>
      <c r="F7" s="157"/>
      <c r="G7" s="169" t="s">
        <v>32</v>
      </c>
      <c r="H7" s="169"/>
      <c r="I7" s="169"/>
      <c r="J7" s="169"/>
      <c r="K7" s="105"/>
    </row>
    <row r="8" spans="2:10" s="58" customFormat="1" ht="18" customHeight="1">
      <c r="B8" s="57"/>
      <c r="D8" s="59" t="s">
        <v>2</v>
      </c>
      <c r="E8" s="158">
        <f>ROUNDDOWN(E7/12,2)</f>
        <v>4.63</v>
      </c>
      <c r="F8" s="158"/>
      <c r="G8" s="169"/>
      <c r="H8" s="169"/>
      <c r="I8" s="169"/>
      <c r="J8" s="169"/>
    </row>
    <row r="9" spans="2:11" s="58" customFormat="1" ht="18" customHeight="1">
      <c r="B9" s="57"/>
      <c r="D9" s="59" t="s">
        <v>3</v>
      </c>
      <c r="E9" s="158">
        <f>ROUNDDOWN($E$7/12,2)+ROUNDDOWN($E$7/12,2)*0.01-ROUNDDOWN($E$7/12,2)*Intro!$F$7-(ROUNDDOWN($E$7/12,2)+ROUNDDOWN($E$7/12,2)*0.01)*0.97*0.075-(ROUNDDOWN($E$7/12,2)+ROUNDDOWN($E$7/12,2)*0.01)*0.97*0.005-(ROUNDDOWN($E$7/12,2)+ROUNDDOWN($E$7/12,2)*0.01-ROUNDDOWN($E$7/12,2)*Intro!$F$7-ROUNDDOWN($E$7/12,2)*0.01*0.05)*0.01</f>
        <v>3.894482829999999</v>
      </c>
      <c r="F9" s="158"/>
      <c r="G9" s="169"/>
      <c r="H9" s="169"/>
      <c r="I9" s="169"/>
      <c r="J9" s="169"/>
      <c r="K9" s="105"/>
    </row>
    <row r="10" spans="2:7" s="58" customFormat="1" ht="18" customHeight="1">
      <c r="B10" s="57"/>
      <c r="D10" s="107" t="s">
        <v>11</v>
      </c>
      <c r="E10" s="106"/>
      <c r="F10" s="106"/>
      <c r="G10" s="109"/>
    </row>
    <row r="11" s="58" customFormat="1" ht="22.5" customHeight="1" thickBot="1">
      <c r="J11" s="107" t="s">
        <v>39</v>
      </c>
    </row>
    <row r="12" spans="2:10" s="63" customFormat="1" ht="19.5" customHeight="1" thickBot="1" thickTop="1">
      <c r="B12" s="62"/>
      <c r="C12" s="177" t="s">
        <v>12</v>
      </c>
      <c r="D12" s="178"/>
      <c r="E12" s="178"/>
      <c r="F12" s="178"/>
      <c r="G12" s="178"/>
      <c r="H12" s="178"/>
      <c r="I12" s="178"/>
      <c r="J12" s="179"/>
    </row>
    <row r="13" spans="2:10" s="63" customFormat="1" ht="19.5" customHeight="1" thickBot="1" thickTop="1">
      <c r="B13" s="62"/>
      <c r="C13" s="160" t="s">
        <v>26</v>
      </c>
      <c r="D13" s="161"/>
      <c r="E13" s="160" t="s">
        <v>0</v>
      </c>
      <c r="F13" s="161"/>
      <c r="G13" s="161"/>
      <c r="H13" s="160" t="s">
        <v>1</v>
      </c>
      <c r="I13" s="161"/>
      <c r="J13" s="162"/>
    </row>
    <row r="14" spans="2:10" s="64" customFormat="1" ht="19.5" customHeight="1" thickTop="1">
      <c r="B14" s="148" t="s">
        <v>13</v>
      </c>
      <c r="C14" s="152" t="s">
        <v>14</v>
      </c>
      <c r="D14" s="167" t="s">
        <v>15</v>
      </c>
      <c r="E14" s="152" t="s">
        <v>14</v>
      </c>
      <c r="F14" s="180" t="s">
        <v>15</v>
      </c>
      <c r="G14" s="150"/>
      <c r="H14" s="152" t="s">
        <v>14</v>
      </c>
      <c r="I14" s="180" t="s">
        <v>15</v>
      </c>
      <c r="J14" s="150"/>
    </row>
    <row r="15" spans="2:10" s="64" customFormat="1" ht="43.5" thickBot="1">
      <c r="B15" s="149"/>
      <c r="C15" s="153"/>
      <c r="D15" s="168" t="s">
        <v>18</v>
      </c>
      <c r="E15" s="159"/>
      <c r="F15" s="65" t="s">
        <v>27</v>
      </c>
      <c r="G15" s="65" t="s">
        <v>28</v>
      </c>
      <c r="H15" s="159"/>
      <c r="I15" s="65" t="s">
        <v>27</v>
      </c>
      <c r="J15" s="65" t="s">
        <v>28</v>
      </c>
    </row>
    <row r="16" spans="2:10" ht="19.5" customHeight="1" thickTop="1">
      <c r="B16" s="67">
        <v>1</v>
      </c>
      <c r="C16" s="68">
        <f>Indices!C5</f>
        <v>341</v>
      </c>
      <c r="D16" s="71">
        <f>ROUNDDOWN($E$7*C16/12/2,2)+ROUNDDOWN($E$7*C16/12/2,2)*0.01-ROUNDDOWN($E$7*C16/12/2,2)*Intro!$F$7-(ROUNDDOWN($E$7*C16/12/2,2)+ROUNDDOWN($E$7*C16/12/2,2)*0.01)*0.97*0.075-(ROUNDDOWN($E$7*C16/12/2,2)+ROUNDDOWN($E$7*C16/12/2,2)*0.01)*0.97*0.005-ROUND((($E$7*C16/12/2)*0.01)*0.05,2)</f>
        <v>670.9857310400001</v>
      </c>
      <c r="E16" s="70">
        <f>C16</f>
        <v>341</v>
      </c>
      <c r="F16" s="71">
        <f>ROUNDDOWN($E$7*E16/12/2,2)+ROUNDDOWN($E$7*E16/12/2,2)*0.01-ROUNDDOWN($E$7*E16/12/2,2)*Intro!$F$7-(ROUNDDOWN($E$7*E16/12/2,2)+ROUNDDOWN($E$7*E16/12/2,2)*0.01+ROUNDDOWN($F$28,2))*0.97*0.075-(ROUNDDOWN($E$7*E16/12/2,2)+ROUNDDOWN($E$7*E16/12/2,2)*0.01+ROUNDDOWN($F$28,2))*0.97*0.005-ROUND((($E$7*E16/12/2)*0.01+$F$28)*0.05,2)</f>
        <v>647.0990110399999</v>
      </c>
      <c r="G16" s="71">
        <f aca="true" t="shared" si="0" ref="G16:G26">F16+$F$28</f>
        <v>834.2990110399999</v>
      </c>
      <c r="H16" s="70">
        <f>C16</f>
        <v>341</v>
      </c>
      <c r="I16" s="71">
        <f>ROUNDDOWN($E$7*H16/12/2,2)+ROUNDDOWN($E$7*H16/12/2,2)*0.01-ROUNDDOWN($E$7*H16/12/2,2)*Intro!$F$7-(ROUNDDOWN($E$7*H16/12/2,2)+ROUNDDOWN($E$7*H16/12/2,2)*0.01+ROUNDDOWN($I$28,2))*0.97*0.075-(ROUNDDOWN($E$7*H16/12/2,2)+ROUNDDOWN($E$7*H16/12/2,2)*0.01+ROUNDDOWN($I$28,2))*0.97*0.005-ROUND((($E$7*H16/12/2)*0.01+$I$28)*0.05,2)</f>
        <v>641.1273310400001</v>
      </c>
      <c r="J16" s="71">
        <f aca="true" t="shared" si="1" ref="J16:J26">I16+$I$28</f>
        <v>875.1273310400001</v>
      </c>
    </row>
    <row r="17" spans="2:10" ht="19.5" customHeight="1">
      <c r="B17" s="73">
        <v>2</v>
      </c>
      <c r="C17" s="74">
        <f>Indices!C6</f>
        <v>357</v>
      </c>
      <c r="D17" s="76">
        <f>ROUNDDOWN($E$7*C17/12/2,2)+ROUNDDOWN($E$7*C17/12/2,2)*0.01-ROUNDDOWN($E$7*C17/12/2,2)*Intro!$F$7-(ROUNDDOWN($E$7*C17/12/2,2)+ROUNDDOWN($E$7*C17/12/2,2)*0.01)*0.97*0.075-(ROUNDDOWN($E$7*C17/12/2,2)+ROUNDDOWN($E$7*C17/12/2,2)*0.01)*0.97*0.005-ROUND((($E$7*C17/12/2)*0.01)*0.05,2)</f>
        <v>702.465436</v>
      </c>
      <c r="E17" s="74">
        <f aca="true" t="shared" si="2" ref="E17:E26">C17</f>
        <v>357</v>
      </c>
      <c r="F17" s="76">
        <f>ROUNDDOWN($E$7*E17/12/2,2)+ROUNDDOWN($E$7*E17/12/2,2)*0.01-ROUNDDOWN($E$7*E17/12/2,2)*Intro!$F$7-(ROUNDDOWN($E$7*E17/12/2,2)+ROUNDDOWN($E$7*E17/12/2,2)*0.01+ROUNDDOWN($F$28,2))*0.97*0.075-(ROUNDDOWN($E$7*E17/12/2,2)+ROUNDDOWN($E$7*E17/12/2,2)*0.01+ROUNDDOWN($F$28,2))*0.97*0.005-ROUND((($E$7*E17/12/2)*0.01+$F$28)*0.05,2)</f>
        <v>678.578716</v>
      </c>
      <c r="G17" s="76">
        <f t="shared" si="0"/>
        <v>865.778716</v>
      </c>
      <c r="H17" s="74">
        <f aca="true" t="shared" si="3" ref="H17:H26">C17</f>
        <v>357</v>
      </c>
      <c r="I17" s="76">
        <f>ROUNDDOWN($E$7*H17/12/2,2)+ROUNDDOWN($E$7*H17/12/2,2)*0.01-ROUNDDOWN($E$7*H17/12/2,2)*Intro!$F$7-(ROUNDDOWN($E$7*H17/12/2,2)+ROUNDDOWN($E$7*H17/12/2,2)*0.01+ROUNDDOWN($I$28,2))*0.97*0.075-(ROUNDDOWN($E$7*H17/12/2,2)+ROUNDDOWN($E$7*H17/12/2,2)*0.01+ROUNDDOWN($I$28,2))*0.97*0.005-ROUND((($E$7*H17/12/2)*0.01+$I$28)*0.05,2)</f>
        <v>672.6070359999999</v>
      </c>
      <c r="J17" s="76">
        <f t="shared" si="1"/>
        <v>906.6070359999999</v>
      </c>
    </row>
    <row r="18" spans="2:10" ht="19.5" customHeight="1">
      <c r="B18" s="73">
        <v>3</v>
      </c>
      <c r="C18" s="74">
        <f>Indices!C7</f>
        <v>366</v>
      </c>
      <c r="D18" s="76">
        <f>ROUNDDOWN($E$7*C18/12/2,2)+ROUNDDOWN($E$7*C18/12/2,2)*0.01-ROUNDDOWN($E$7*C18/12/2,2)*Intro!$F$7-(ROUNDDOWN($E$7*C18/12/2,2)+ROUNDDOWN($E$7*C18/12/2,2)*0.01)*0.97*0.075-(ROUNDDOWN($E$7*C18/12/2,2)+ROUNDDOWN($E$7*C18/12/2,2)*0.01)*0.97*0.005-ROUND((($E$7*C18/12/2)*0.01)*0.05,2)</f>
        <v>720.17827216</v>
      </c>
      <c r="E18" s="74">
        <f t="shared" si="2"/>
        <v>366</v>
      </c>
      <c r="F18" s="76">
        <f>ROUNDDOWN($E$7*E18/12/2,2)+ROUNDDOWN($E$7*E18/12/2,2)*0.01-ROUNDDOWN($E$7*E18/12/2,2)*Intro!$F$7-(ROUNDDOWN($E$7*E18/12/2,2)+ROUNDDOWN($E$7*E18/12/2,2)*0.01+ROUNDDOWN($F$28,2))*0.97*0.075-(ROUNDDOWN($E$7*E18/12/2,2)+ROUNDDOWN($E$7*E18/12/2,2)*0.01+ROUNDDOWN($F$28,2))*0.97*0.005-ROUND((($E$7*E18/12/2)*0.01+$F$28)*0.05,2)</f>
        <v>696.29155216</v>
      </c>
      <c r="G18" s="76">
        <f t="shared" si="0"/>
        <v>883.4915521600001</v>
      </c>
      <c r="H18" s="74">
        <f t="shared" si="3"/>
        <v>366</v>
      </c>
      <c r="I18" s="76">
        <f>ROUNDDOWN($E$7*H18/12/2,2)+ROUNDDOWN($E$7*H18/12/2,2)*0.01-ROUNDDOWN($E$7*H18/12/2,2)*Intro!$F$7-(ROUNDDOWN($E$7*H18/12/2,2)+ROUNDDOWN($E$7*H18/12/2,2)*0.01+ROUNDDOWN($I$28,2))*0.97*0.075-(ROUNDDOWN($E$7*H18/12/2,2)+ROUNDDOWN($E$7*H18/12/2,2)*0.01+ROUNDDOWN($I$28,2))*0.97*0.005-ROUND((($E$7*H18/12/2)*0.01+$I$28)*0.05,2)</f>
        <v>690.31987216</v>
      </c>
      <c r="J18" s="76">
        <f t="shared" si="1"/>
        <v>924.31987216</v>
      </c>
    </row>
    <row r="19" spans="2:10" ht="19.5" customHeight="1">
      <c r="B19" s="73">
        <v>4</v>
      </c>
      <c r="C19" s="74">
        <f>Indices!C8</f>
        <v>373</v>
      </c>
      <c r="D19" s="76">
        <f>ROUNDDOWN($E$7*C19/12/2,2)+ROUNDDOWN($E$7*C19/12/2,2)*0.01-ROUNDDOWN($E$7*C19/12/2,2)*Intro!$F$7-(ROUNDDOWN($E$7*C19/12/2,2)+ROUNDDOWN($E$7*C19/12/2,2)*0.01)*0.97*0.075-(ROUNDDOWN($E$7*C19/12/2,2)+ROUNDDOWN($E$7*C19/12/2,2)*0.01)*0.97*0.005-ROUND((($E$7*C19/12/2)*0.01)*0.05,2)</f>
        <v>733.94514096</v>
      </c>
      <c r="E19" s="74">
        <f t="shared" si="2"/>
        <v>373</v>
      </c>
      <c r="F19" s="76">
        <f>ROUNDDOWN($E$7*E19/12/2,2)+ROUNDDOWN($E$7*E19/12/2,2)*0.01-ROUNDDOWN($E$7*E19/12/2,2)*Intro!$F$7-(ROUNDDOWN($E$7*E19/12/2,2)+ROUNDDOWN($E$7*E19/12/2,2)*0.01+ROUNDDOWN($F$28,2))*0.97*0.075-(ROUNDDOWN($E$7*E19/12/2,2)+ROUNDDOWN($E$7*E19/12/2,2)*0.01+ROUNDDOWN($F$28,2))*0.97*0.005-ROUND((($E$7*E19/12/2)*0.01+$F$28)*0.05,2)</f>
        <v>710.05842096</v>
      </c>
      <c r="G19" s="76">
        <f t="shared" si="0"/>
        <v>897.25842096</v>
      </c>
      <c r="H19" s="74">
        <f t="shared" si="3"/>
        <v>373</v>
      </c>
      <c r="I19" s="76">
        <f>ROUNDDOWN($E$7*H19/12/2,2)+ROUNDDOWN($E$7*H19/12/2,2)*0.01-ROUNDDOWN($E$7*H19/12/2,2)*Intro!$F$7-(ROUNDDOWN($E$7*H19/12/2,2)+ROUNDDOWN($E$7*H19/12/2,2)*0.01+ROUNDDOWN($I$28,2))*0.97*0.075-(ROUNDDOWN($E$7*H19/12/2,2)+ROUNDDOWN($E$7*H19/12/2,2)*0.01+ROUNDDOWN($I$28,2))*0.97*0.005-ROUND((($E$7*H19/12/2)*0.01+$I$28)*0.05,2)</f>
        <v>704.0867409599999</v>
      </c>
      <c r="J19" s="76">
        <f t="shared" si="1"/>
        <v>938.0867409599999</v>
      </c>
    </row>
    <row r="20" spans="2:10" ht="19.5" customHeight="1">
      <c r="B20" s="73">
        <v>5</v>
      </c>
      <c r="C20" s="74">
        <f>Indices!C9</f>
        <v>383</v>
      </c>
      <c r="D20" s="76">
        <f>ROUNDDOWN($E$7*C20/12/2,2)+ROUNDDOWN($E$7*C20/12/2,2)*0.01-ROUNDDOWN($E$7*C20/12/2,2)*Intro!$F$7-(ROUNDDOWN($E$7*C20/12/2,2)+ROUNDDOWN($E$7*C20/12/2,2)*0.01)*0.97*0.075-(ROUNDDOWN($E$7*C20/12/2,2)+ROUNDDOWN($E$7*C20/12/2,2)*0.01)*0.97*0.005-ROUND((($E$7*C20/12/2)*0.01)*0.05,2)</f>
        <v>753.6309607999999</v>
      </c>
      <c r="E20" s="74">
        <f t="shared" si="2"/>
        <v>383</v>
      </c>
      <c r="F20" s="76">
        <f>ROUNDDOWN($E$7*E20/12/2,2)+ROUNDDOWN($E$7*E20/12/2,2)*0.01-ROUNDDOWN($E$7*E20/12/2,2)*Intro!$F$7-(ROUNDDOWN($E$7*E20/12/2,2)+ROUNDDOWN($E$7*E20/12/2,2)*0.01+ROUNDDOWN($F$28,2))*0.97*0.075-(ROUNDDOWN($E$7*E20/12/2,2)+ROUNDDOWN($E$7*E20/12/2,2)*0.01+ROUNDDOWN($F$28,2))*0.97*0.005-ROUND((($E$7*E20/12/2)*0.01+$F$28)*0.05,2)</f>
        <v>729.7442408000001</v>
      </c>
      <c r="G20" s="76">
        <f t="shared" si="0"/>
        <v>916.9442408</v>
      </c>
      <c r="H20" s="74">
        <f t="shared" si="3"/>
        <v>383</v>
      </c>
      <c r="I20" s="76">
        <f>ROUNDDOWN($E$7*H20/12/2,2)+ROUNDDOWN($E$7*H20/12/2,2)*0.01-ROUNDDOWN($E$7*H20/12/2,2)*Intro!$F$7-(ROUNDDOWN($E$7*H20/12/2,2)+ROUNDDOWN($E$7*H20/12/2,2)*0.01+ROUNDDOWN($I$28,2))*0.97*0.075-(ROUNDDOWN($E$7*H20/12/2,2)+ROUNDDOWN($E$7*H20/12/2,2)*0.01+ROUNDDOWN($I$28,2))*0.97*0.005-ROUND((($E$7*H20/12/2)*0.01+$I$28)*0.05,2)</f>
        <v>723.7725608</v>
      </c>
      <c r="J20" s="76">
        <f t="shared" si="1"/>
        <v>957.7725608</v>
      </c>
    </row>
    <row r="21" spans="2:10" ht="19.5" customHeight="1">
      <c r="B21" s="73">
        <v>6</v>
      </c>
      <c r="C21" s="74">
        <f>Indices!C10</f>
        <v>390</v>
      </c>
      <c r="D21" s="76">
        <f>ROUNDDOWN($E$7*C21/12/2,2)+ROUNDDOWN($E$7*C21/12/2,2)*0.01-ROUNDDOWN($E$7*C21/12/2,2)*Intro!$F$7-(ROUNDDOWN($E$7*C21/12/2,2)+ROUNDDOWN($E$7*C21/12/2,2)*0.01)*0.97*0.075-(ROUNDDOWN($E$7*C21/12/2,2)+ROUNDDOWN($E$7*C21/12/2,2)*0.01)*0.97*0.005-ROUND((($E$7*C21/12/2)*0.01)*0.05,2)</f>
        <v>767.3978296</v>
      </c>
      <c r="E21" s="74">
        <f t="shared" si="2"/>
        <v>390</v>
      </c>
      <c r="F21" s="76">
        <f>ROUNDDOWN($E$7*E21/12/2,2)+ROUNDDOWN($E$7*E21/12/2,2)*0.01-ROUNDDOWN($E$7*E21/12/2,2)*Intro!$F$7-(ROUNDDOWN($E$7*E21/12/2,2)+ROUNDDOWN($E$7*E21/12/2,2)*0.01+ROUNDDOWN($F$28,2))*0.97*0.075-(ROUNDDOWN($E$7*E21/12/2,2)+ROUNDDOWN($E$7*E21/12/2,2)*0.01+ROUNDDOWN($F$28,2))*0.97*0.005-ROUND((($E$7*E21/12/2)*0.01+$F$28)*0.05,2)</f>
        <v>743.5111096</v>
      </c>
      <c r="G21" s="76">
        <f t="shared" si="0"/>
        <v>930.7111096000001</v>
      </c>
      <c r="H21" s="74">
        <f t="shared" si="3"/>
        <v>390</v>
      </c>
      <c r="I21" s="76">
        <f>ROUNDDOWN($E$7*H21/12/2,2)+ROUNDDOWN($E$7*H21/12/2,2)*0.01-ROUNDDOWN($E$7*H21/12/2,2)*Intro!$F$7-(ROUNDDOWN($E$7*H21/12/2,2)+ROUNDDOWN($E$7*H21/12/2,2)*0.01+ROUNDDOWN($I$28,2))*0.97*0.075-(ROUNDDOWN($E$7*H21/12/2,2)+ROUNDDOWN($E$7*H21/12/2,2)*0.01+ROUNDDOWN($I$28,2))*0.97*0.005-ROUND((($E$7*H21/12/2)*0.01+$I$28)*0.05,2)</f>
        <v>737.5394296000001</v>
      </c>
      <c r="J21" s="76">
        <f t="shared" si="1"/>
        <v>971.5394296000001</v>
      </c>
    </row>
    <row r="22" spans="2:10" ht="19.5" customHeight="1">
      <c r="B22" s="73">
        <v>7</v>
      </c>
      <c r="C22" s="74">
        <f>Indices!C11</f>
        <v>399</v>
      </c>
      <c r="D22" s="76">
        <f>ROUNDDOWN($E$7*C22/12/2,2)+ROUNDDOWN($E$7*C22/12/2,2)*0.01-ROUNDDOWN($E$7*C22/12/2,2)*Intro!$F$7-(ROUNDDOWN($E$7*C22/12/2,2)+ROUNDDOWN($E$7*C22/12/2,2)*0.01)*0.97*0.075-(ROUNDDOWN($E$7*C22/12/2,2)+ROUNDDOWN($E$7*C22/12/2,2)*0.01)*0.97*0.005-ROUND((($E$7*C22/12/2)*0.01)*0.05,2)</f>
        <v>785.11066576</v>
      </c>
      <c r="E22" s="74">
        <f t="shared" si="2"/>
        <v>399</v>
      </c>
      <c r="F22" s="76">
        <f>ROUNDDOWN($E$7*E22/12/2,2)+ROUNDDOWN($E$7*E22/12/2,2)*0.01-ROUNDDOWN($E$7*E22/12/2,2)*Intro!$F$7-(ROUNDDOWN($E$7*E22/12/2,2)+ROUNDDOWN($E$7*E22/12/2,2)*0.01+ROUNDDOWN($F$28,2))*0.97*0.075-(ROUNDDOWN($E$7*E22/12/2,2)+ROUNDDOWN($E$7*E22/12/2,2)*0.01+ROUNDDOWN($F$28,2))*0.97*0.005-ROUND((($E$7*E22/12/2)*0.01+$F$28)*0.05,2)</f>
        <v>761.22394576</v>
      </c>
      <c r="G22" s="76">
        <f t="shared" si="0"/>
        <v>948.4239457599999</v>
      </c>
      <c r="H22" s="74">
        <f t="shared" si="3"/>
        <v>399</v>
      </c>
      <c r="I22" s="76">
        <f>ROUNDDOWN($E$7*H22/12/2,2)+ROUNDDOWN($E$7*H22/12/2,2)*0.01-ROUNDDOWN($E$7*H22/12/2,2)*Intro!$F$7-(ROUNDDOWN($E$7*H22/12/2,2)+ROUNDDOWN($E$7*H22/12/2,2)*0.01+ROUNDDOWN($I$28,2))*0.97*0.075-(ROUNDDOWN($E$7*H22/12/2,2)+ROUNDDOWN($E$7*H22/12/2,2)*0.01+ROUNDDOWN($I$28,2))*0.97*0.005-ROUND((($E$7*H22/12/2)*0.01+$I$28)*0.05,2)</f>
        <v>755.25226576</v>
      </c>
      <c r="J22" s="76">
        <f t="shared" si="1"/>
        <v>989.25226576</v>
      </c>
    </row>
    <row r="23" spans="2:10" ht="19.5" customHeight="1">
      <c r="B23" s="73">
        <v>8</v>
      </c>
      <c r="C23" s="74">
        <f>Indices!C12</f>
        <v>420</v>
      </c>
      <c r="D23" s="76">
        <f>ROUNDDOWN($E$7*C23/12/2,2)+ROUNDDOWN($E$7*C23/12/2,2)*0.01-ROUNDDOWN($E$7*C23/12/2,2)*Intro!$F$7-(ROUNDDOWN($E$7*C23/12/2,2)+ROUNDDOWN($E$7*C23/12/2,2)*0.01)*0.97*0.075-(ROUNDDOWN($E$7*C23/12/2,2)+ROUNDDOWN($E$7*C23/12/2,2)*0.01)*0.97*0.005-ROUND((($E$7*C23/12/2)*0.01)*0.05,2)</f>
        <v>826.42828064</v>
      </c>
      <c r="E23" s="74">
        <f t="shared" si="2"/>
        <v>420</v>
      </c>
      <c r="F23" s="76">
        <f>ROUNDDOWN($E$7*E23/12/2,2)+ROUNDDOWN($E$7*E23/12/2,2)*0.01-ROUNDDOWN($E$7*E23/12/2,2)*Intro!$F$7-(ROUNDDOWN($E$7*E23/12/2,2)+ROUNDDOWN($E$7*E23/12/2,2)*0.01+ROUNDDOWN($F$28,2))*0.97*0.075-(ROUNDDOWN($E$7*E23/12/2,2)+ROUNDDOWN($E$7*E23/12/2,2)*0.01+ROUNDDOWN($F$28,2))*0.97*0.005-ROUND((($E$7*E23/12/2)*0.01+$F$28)*0.05,2)</f>
        <v>802.54156064</v>
      </c>
      <c r="G23" s="76">
        <f t="shared" si="0"/>
        <v>989.74156064</v>
      </c>
      <c r="H23" s="74">
        <f t="shared" si="3"/>
        <v>420</v>
      </c>
      <c r="I23" s="76">
        <f>ROUNDDOWN($E$7*H23/12/2,2)+ROUNDDOWN($E$7*H23/12/2,2)*0.01-ROUNDDOWN($E$7*H23/12/2,2)*Intro!$F$7-(ROUNDDOWN($E$7*H23/12/2,2)+ROUNDDOWN($E$7*H23/12/2,2)*0.01+ROUNDDOWN($I$28,2))*0.97*0.075-(ROUNDDOWN($E$7*H23/12/2,2)+ROUNDDOWN($E$7*H23/12/2,2)*0.01+ROUNDDOWN($I$28,2))*0.97*0.005-ROUND((($E$7*H23/12/2)*0.01+$I$28)*0.05,2)</f>
        <v>796.56988064</v>
      </c>
      <c r="J23" s="76">
        <f t="shared" si="1"/>
        <v>1030.56988064</v>
      </c>
    </row>
    <row r="24" spans="2:10" ht="19.5" customHeight="1">
      <c r="B24" s="73">
        <v>9</v>
      </c>
      <c r="C24" s="74">
        <f>Indices!C13</f>
        <v>441</v>
      </c>
      <c r="D24" s="76">
        <f>ROUNDDOWN($E$7*C24/12/2,2)+ROUNDDOWN($E$7*C24/12/2,2)*0.01-ROUNDDOWN($E$7*C24/12/2,2)*Intro!$F$7-(ROUNDDOWN($E$7*C24/12/2,2)+ROUNDDOWN($E$7*C24/12/2,2)*0.01)*0.97*0.075-(ROUNDDOWN($E$7*C24/12/2,2)+ROUNDDOWN($E$7*C24/12/2,2)*0.01)*0.97*0.005-ROUND((($E$7*C24/12/2)*0.01)*0.05,2)</f>
        <v>867.7473912800002</v>
      </c>
      <c r="E24" s="74">
        <f t="shared" si="2"/>
        <v>441</v>
      </c>
      <c r="F24" s="76">
        <f>ROUNDDOWN($E$7*E24/12/2,2)+ROUNDDOWN($E$7*E24/12/2,2)*0.01-ROUNDDOWN($E$7*E24/12/2,2)*Intro!$F$7-(ROUNDDOWN($E$7*E24/12/2,2)+ROUNDDOWN($E$7*E24/12/2,2)*0.01+ROUNDDOWN($F$28,2))*0.97*0.075-(ROUNDDOWN($E$7*E24/12/2,2)+ROUNDDOWN($E$7*E24/12/2,2)*0.01+ROUNDDOWN($F$28,2))*0.97*0.005-ROUND((($E$7*E24/12/2)*0.01+$F$28)*0.05,2)</f>
        <v>843.8606712800001</v>
      </c>
      <c r="G24" s="76">
        <f t="shared" si="0"/>
        <v>1031.0606712800002</v>
      </c>
      <c r="H24" s="74">
        <f t="shared" si="3"/>
        <v>441</v>
      </c>
      <c r="I24" s="76">
        <f>ROUNDDOWN($E$7*H24/12/2,2)+ROUNDDOWN($E$7*H24/12/2,2)*0.01-ROUNDDOWN($E$7*H24/12/2,2)*Intro!$F$7-(ROUNDDOWN($E$7*H24/12/2,2)+ROUNDDOWN($E$7*H24/12/2,2)*0.01+ROUNDDOWN($I$28,2))*0.97*0.075-(ROUNDDOWN($E$7*H24/12/2,2)+ROUNDDOWN($E$7*H24/12/2,2)*0.01+ROUNDDOWN($I$28,2))*0.97*0.005-ROUND((($E$7*H24/12/2)*0.01+$I$28)*0.05,2)</f>
        <v>837.8889912800001</v>
      </c>
      <c r="J24" s="76">
        <f t="shared" si="1"/>
        <v>1071.88899128</v>
      </c>
    </row>
    <row r="25" spans="2:10" ht="19.5" customHeight="1">
      <c r="B25" s="73">
        <v>10</v>
      </c>
      <c r="C25" s="74">
        <f>Indices!C14</f>
        <v>469</v>
      </c>
      <c r="D25" s="76">
        <f>ROUNDDOWN($E$7*C25/12/2,2)+ROUNDDOWN($E$7*C25/12/2,2)*0.01-ROUNDDOWN($E$7*C25/12/2,2)*Intro!$F$7-(ROUNDDOWN($E$7*C25/12/2,2)+ROUNDDOWN($E$7*C25/12/2,2)*0.01)*0.97*0.075-(ROUNDDOWN($E$7*C25/12/2,2)+ROUNDDOWN($E$7*C25/12/2,2)*0.01)*0.97*0.005-ROUND((($E$7*C25/12/2)*0.01)*0.05,2)</f>
        <v>922.8503791999999</v>
      </c>
      <c r="E25" s="74">
        <f t="shared" si="2"/>
        <v>469</v>
      </c>
      <c r="F25" s="76">
        <f>ROUNDDOWN($E$7*E25/12/2,2)+ROUNDDOWN($E$7*E25/12/2,2)*0.01-ROUNDDOWN($E$7*E25/12/2,2)*Intro!$F$7-(ROUNDDOWN($E$7*E25/12/2,2)+ROUNDDOWN($E$7*E25/12/2,2)*0.01+ROUNDDOWN($F$28,2))*0.97*0.075-(ROUNDDOWN($E$7*E25/12/2,2)+ROUNDDOWN($E$7*E25/12/2,2)*0.01+ROUNDDOWN($F$28,2))*0.97*0.005-ROUND((($E$7*E25/12/2)*0.01+$F$28)*0.05,2)</f>
        <v>898.9636591999998</v>
      </c>
      <c r="G25" s="76">
        <f t="shared" si="0"/>
        <v>1086.1636591999998</v>
      </c>
      <c r="H25" s="74">
        <f t="shared" si="3"/>
        <v>469</v>
      </c>
      <c r="I25" s="76">
        <f>ROUNDDOWN($E$7*H25/12/2,2)+ROUNDDOWN($E$7*H25/12/2,2)*0.01-ROUNDDOWN($E$7*H25/12/2,2)*Intro!$F$7-(ROUNDDOWN($E$7*H25/12/2,2)+ROUNDDOWN($E$7*H25/12/2,2)*0.01+ROUNDDOWN($I$28,2))*0.97*0.075-(ROUNDDOWN($E$7*H25/12/2,2)+ROUNDDOWN($E$7*H25/12/2,2)*0.01+ROUNDDOWN($I$28,2))*0.97*0.005-ROUND((($E$7*H25/12/2)*0.01+$I$28)*0.05,2)</f>
        <v>892.9919792</v>
      </c>
      <c r="J25" s="76">
        <f t="shared" si="1"/>
        <v>1126.9919792</v>
      </c>
    </row>
    <row r="26" spans="2:10" ht="19.5" customHeight="1" thickBot="1">
      <c r="B26" s="78">
        <v>11</v>
      </c>
      <c r="C26" s="79">
        <f>Indices!C15</f>
        <v>515</v>
      </c>
      <c r="D26" s="81">
        <f>ROUNDDOWN($E$7*C26/12/2,2)+ROUNDDOWN($E$7*C26/12/2,2)*0.01-ROUNDDOWN($E$7*C26/12/2,2)*Intro!$F$7-(ROUNDDOWN($E$7*C26/12/2,2)+ROUNDDOWN($E$7*C26/12/2,2)*0.01)*0.97*0.075-(ROUNDDOWN($E$7*C26/12/2,2)+ROUNDDOWN($E$7*C26/12/2,2)*0.01)*0.97*0.005-ROUND((($E$7*C26/12/2)*0.01)*0.05,2)</f>
        <v>1013.3605352</v>
      </c>
      <c r="E26" s="79">
        <f t="shared" si="2"/>
        <v>515</v>
      </c>
      <c r="F26" s="81">
        <f>ROUNDDOWN($E$7*E26/12/2,2)+ROUNDDOWN($E$7*E26/12/2,2)*0.01-ROUNDDOWN($E$7*E26/12/2,2)*Intro!$F$7-(ROUNDDOWN($E$7*E26/12/2,2)+ROUNDDOWN($E$7*E26/12/2,2)*0.01+ROUNDDOWN($F$28,2))*0.97*0.075-(ROUNDDOWN($E$7*E26/12/2,2)+ROUNDDOWN($E$7*E26/12/2,2)*0.01+ROUNDDOWN($F$28,2))*0.97*0.005-ROUND((($E$7*E26/12/2)*0.01+$F$28)*0.05,2)</f>
        <v>989.4738151999999</v>
      </c>
      <c r="G26" s="81">
        <f t="shared" si="0"/>
        <v>1176.6738151999998</v>
      </c>
      <c r="H26" s="79">
        <f t="shared" si="3"/>
        <v>515</v>
      </c>
      <c r="I26" s="81">
        <f>ROUNDDOWN($E$7*H26/12/2,2)+ROUNDDOWN($E$7*H26/12/2,2)*0.01-ROUNDDOWN($E$7*H26/12/2,2)*Intro!$F$7-(ROUNDDOWN($E$7*H26/12/2,2)+ROUNDDOWN($E$7*H26/12/2,2)*0.01+ROUNDDOWN($I$28,2))*0.97*0.075-(ROUNDDOWN($E$7*H26/12/2,2)+ROUNDDOWN($E$7*H26/12/2,2)*0.01+ROUNDDOWN($I$28,2))*0.97*0.005-ROUND((($E$7*H26/12/2)*0.01+$I$28)*0.05,2)</f>
        <v>983.5021352000001</v>
      </c>
      <c r="J26" s="81">
        <f t="shared" si="1"/>
        <v>1217.5021352</v>
      </c>
    </row>
    <row r="27" spans="3:11" ht="19.5" customHeight="1" thickBot="1" thickTop="1">
      <c r="C27" s="83"/>
      <c r="D27" s="83"/>
      <c r="E27" s="83"/>
      <c r="F27" s="176" t="s">
        <v>10</v>
      </c>
      <c r="G27" s="176"/>
      <c r="H27" s="176"/>
      <c r="I27" s="176"/>
      <c r="J27" s="176"/>
      <c r="K27" s="117"/>
    </row>
    <row r="28" spans="3:10" s="86" customFormat="1" ht="16.5" thickBot="1" thickTop="1">
      <c r="C28" s="120" t="s">
        <v>9</v>
      </c>
      <c r="D28" s="122">
        <f>Intro!H4</f>
        <v>38717</v>
      </c>
      <c r="F28" s="174">
        <f>Intro!C4</f>
        <v>187.2</v>
      </c>
      <c r="G28" s="175"/>
      <c r="H28" s="121"/>
      <c r="I28" s="174">
        <f>Intro!F4</f>
        <v>234</v>
      </c>
      <c r="J28" s="175"/>
    </row>
    <row r="29" spans="3:11" s="86" customFormat="1" ht="39.75" customHeight="1" thickBot="1" thickTop="1">
      <c r="C29" s="87"/>
      <c r="D29" s="87"/>
      <c r="E29" s="88"/>
      <c r="F29" s="89"/>
      <c r="G29" s="89"/>
      <c r="H29" s="90"/>
      <c r="I29" s="91"/>
      <c r="J29" s="91"/>
      <c r="K29" s="91"/>
    </row>
    <row r="30" spans="3:12" ht="19.5" customHeight="1" thickBot="1" thickTop="1">
      <c r="C30" s="177" t="s">
        <v>17</v>
      </c>
      <c r="D30" s="179"/>
      <c r="E30" s="86"/>
      <c r="H30" s="86"/>
      <c r="K30" s="108"/>
      <c r="L30" s="108"/>
    </row>
    <row r="31" spans="2:12" s="58" customFormat="1" ht="19.5" customHeight="1" thickTop="1">
      <c r="B31" s="148" t="s">
        <v>13</v>
      </c>
      <c r="C31" s="152" t="s">
        <v>14</v>
      </c>
      <c r="D31" s="167" t="s">
        <v>15</v>
      </c>
      <c r="J31" s="109"/>
      <c r="K31" s="109"/>
      <c r="L31" s="109"/>
    </row>
    <row r="32" spans="2:4" s="93" customFormat="1" ht="19.5" customHeight="1" thickBot="1">
      <c r="B32" s="149"/>
      <c r="C32" s="153"/>
      <c r="D32" s="168" t="s">
        <v>18</v>
      </c>
    </row>
    <row r="33" spans="2:12" s="93" customFormat="1" ht="19.5" customHeight="1" thickTop="1">
      <c r="B33" s="67">
        <v>1</v>
      </c>
      <c r="C33" s="68">
        <f>Indices!F5</f>
        <v>349</v>
      </c>
      <c r="D33" s="94">
        <f>ROUNDDOWN($E$7*C33/12/2,2)+ROUNDDOWN($E$7*C33/12/2,2)*0.01-ROUNDDOWN($E$7*C33/12/2,2)*Intro!$F$7-(ROUNDDOWN($E$7*C33/12/2,2)+ROUNDDOWN($E$7*C33/12/2,2)*0.01)*0.97*0.075-(ROUNDDOWN($E$7*C33/12/2,2)+ROUNDDOWN($E$7*C33/12/2,2)*0.01)*0.97*0.005-ROUND((($E$7*C33/12/2)*0.01)*0.05,2)</f>
        <v>686.72558352</v>
      </c>
      <c r="J33" s="109"/>
      <c r="K33" s="109"/>
      <c r="L33" s="109"/>
    </row>
    <row r="34" spans="2:4" s="93" customFormat="1" ht="19.5" customHeight="1" thickBot="1">
      <c r="B34" s="73">
        <v>2</v>
      </c>
      <c r="C34" s="74">
        <f>Indices!F6</f>
        <v>376</v>
      </c>
      <c r="D34" s="95">
        <f>ROUNDDOWN($E$7*C34/12/2,2)+ROUNDDOWN($E$7*C34/12/2,2)*0.01-ROUNDDOWN($E$7*C34/12/2,2)*Intro!$F$7-(ROUNDDOWN($E$7*C34/12/2,2)+ROUNDDOWN($E$7*C34/12/2,2)*0.01)*0.97*0.075-(ROUNDDOWN($E$7*C34/12/2,2)+ROUNDDOWN($E$7*C34/12/2,2)*0.01)*0.97*0.005-ROUND((($E$7*C34/12/2)*0.01)*0.05,2)</f>
        <v>739.8455877599998</v>
      </c>
    </row>
    <row r="35" spans="2:11" s="58" customFormat="1" ht="19.5" customHeight="1" thickTop="1">
      <c r="B35" s="73">
        <v>3</v>
      </c>
      <c r="C35" s="74">
        <f>Indices!F7</f>
        <v>410</v>
      </c>
      <c r="D35" s="95">
        <f>ROUNDDOWN($E$7*C35/12/2,2)+ROUNDDOWN($E$7*C35/12/2,2)*0.01-ROUNDDOWN($E$7*C35/12/2,2)*Intro!$F$7-(ROUNDDOWN($E$7*C35/12/2,2)+ROUNDDOWN($E$7*C35/12/2,2)*0.01)*0.97*0.075-(ROUNDDOWN($E$7*C35/12/2,2)+ROUNDDOWN($E$7*C35/12/2,2)*0.01)*0.97*0.005-ROUND((($E$7*C35/12/2)*0.01)*0.05,2)</f>
        <v>806.7524608000001</v>
      </c>
      <c r="E35" s="181" t="s">
        <v>50</v>
      </c>
      <c r="F35" s="181"/>
      <c r="G35" s="182"/>
      <c r="H35" s="93"/>
      <c r="I35" s="93"/>
      <c r="J35" s="93"/>
      <c r="K35" s="109"/>
    </row>
    <row r="36" spans="2:10" ht="19.5" customHeight="1" thickBot="1">
      <c r="B36" s="73">
        <v>4</v>
      </c>
      <c r="C36" s="74">
        <f>Indices!F8</f>
        <v>431</v>
      </c>
      <c r="D36" s="95">
        <f>ROUNDDOWN($E$7*C36/12/2,2)+ROUNDDOWN($E$7*C36/12/2,2)*0.01-ROUNDDOWN($E$7*C36/12/2,2)*Intro!$F$7-(ROUNDDOWN($E$7*C36/12/2,2)+ROUNDDOWN($E$7*C36/12/2,2)*0.01)*0.97*0.075-(ROUNDDOWN($E$7*C36/12/2,2)+ROUNDDOWN($E$7*C36/12/2,2)*0.01)*0.97*0.005-ROUND((($E$7*C36/12/2)*0.01)*0.05,2)</f>
        <v>848.0700756800001</v>
      </c>
      <c r="E36" s="183"/>
      <c r="F36" s="183"/>
      <c r="G36" s="184"/>
      <c r="H36" s="93"/>
      <c r="I36" s="93"/>
      <c r="J36" s="93"/>
    </row>
    <row r="37" spans="2:11" ht="19.5" customHeight="1" thickTop="1">
      <c r="B37" s="73">
        <v>5</v>
      </c>
      <c r="C37" s="74">
        <f>Indices!F9</f>
        <v>453</v>
      </c>
      <c r="D37" s="95">
        <f>ROUNDDOWN($E$7*C37/12/2,2)+ROUNDDOWN($E$7*C37/12/2,2)*0.01-ROUNDDOWN($E$7*C37/12/2,2)*Intro!$F$7-(ROUNDDOWN($E$7*C37/12/2,2)+ROUNDDOWN($E$7*C37/12/2,2)*0.01)*0.97*0.075-(ROUNDDOWN($E$7*C37/12/2,2)+ROUNDDOWN($E$7*C37/12/2,2)*0.01)*0.97*0.005-ROUND((($E$7*C37/12/2)*0.01)*0.05,2)</f>
        <v>891.37067424</v>
      </c>
      <c r="E37" s="150" t="s">
        <v>13</v>
      </c>
      <c r="F37" s="154" t="s">
        <v>14</v>
      </c>
      <c r="G37" s="167" t="s">
        <v>15</v>
      </c>
      <c r="H37" s="96" t="s">
        <v>16</v>
      </c>
      <c r="I37" s="114"/>
      <c r="J37" s="114"/>
      <c r="K37" s="114"/>
    </row>
    <row r="38" spans="2:11" ht="19.5" customHeight="1" thickBot="1">
      <c r="B38" s="73">
        <v>6</v>
      </c>
      <c r="C38" s="74">
        <f>Indices!F10</f>
        <v>467</v>
      </c>
      <c r="D38" s="95">
        <f>ROUNDDOWN($E$7*C38/12/2,2)+ROUNDDOWN($E$7*C38/12/2,2)*0.01-ROUNDDOWN($E$7*C38/12/2,2)*Intro!$F$7-(ROUNDDOWN($E$7*C38/12/2,2)+ROUNDDOWN($E$7*C38/12/2,2)*0.01)*0.97*0.075-(ROUNDDOWN($E$7*C38/12/2,2)+ROUNDDOWN($E$7*C38/12/2,2)*0.01)*0.97*0.005-ROUND((($E$7*C38/12/2)*0.01)*0.05,2)</f>
        <v>918.9129160800001</v>
      </c>
      <c r="E38" s="151"/>
      <c r="F38" s="126"/>
      <c r="G38" s="168" t="s">
        <v>18</v>
      </c>
      <c r="H38" s="115" t="s">
        <v>42</v>
      </c>
      <c r="I38" s="101"/>
      <c r="J38" s="101"/>
      <c r="K38" s="101"/>
    </row>
    <row r="39" spans="2:11" ht="19.5" customHeight="1" thickTop="1">
      <c r="B39" s="73">
        <v>7</v>
      </c>
      <c r="C39" s="74">
        <f>Indices!F11</f>
        <v>495</v>
      </c>
      <c r="D39" s="95">
        <f>ROUNDDOWN($E$7*C39/12/2,2)+ROUNDDOWN($E$7*C39/12/2,2)*0.01-ROUNDDOWN($E$7*C39/12/2,2)*Intro!$F$7-(ROUNDDOWN($E$7*C39/12/2,2)+ROUNDDOWN($E$7*C39/12/2,2)*0.01)*0.97*0.075-(ROUNDDOWN($E$7*C39/12/2,2)+ROUNDDOWN($E$7*C39/12/2,2)*0.01)*0.97*0.005-ROUND((($E$7*C39/12/2)*0.01)*0.05,2)</f>
        <v>974.00739976</v>
      </c>
      <c r="E39" s="97">
        <v>1</v>
      </c>
      <c r="F39" s="98">
        <f>Indices!I5</f>
        <v>495</v>
      </c>
      <c r="G39" s="94">
        <f>ROUNDDOWN($E$7*F39/12/2,2)+ROUNDDOWN($E$7*F39/12/2,2)*0.01-ROUNDDOWN($E$7*F39/12/2,2)*Intro!$F$7-(ROUNDDOWN($E$7*F39/12/2,2)+ROUNDDOWN($E$7*F39/12/2,2)*0.01)*0.97*0.075-(ROUNDDOWN($E$7*F39/12/2,2)+ROUNDDOWN($E$7*F39/12/2,2)*0.01)*0.97*0.005-ROUND((($E$7*F39/12/2)*0.01)*0.05,2)</f>
        <v>974.00739976</v>
      </c>
      <c r="H39" s="146" t="s">
        <v>49</v>
      </c>
      <c r="I39" s="147"/>
      <c r="J39" s="147"/>
      <c r="K39" s="147"/>
    </row>
    <row r="40" spans="2:11" ht="19.5" customHeight="1">
      <c r="B40" s="73">
        <v>8</v>
      </c>
      <c r="C40" s="74">
        <f>Indices!F12</f>
        <v>531</v>
      </c>
      <c r="D40" s="95">
        <f>ROUNDDOWN($E$7*C40/12/2,2)+ROUNDDOWN($E$7*C40/12/2,2)*0.01-ROUNDDOWN($E$7*C40/12/2,2)*Intro!$F$7-(ROUNDDOWN($E$7*C40/12/2,2)+ROUNDDOWN($E$7*C40/12/2,2)*0.01)*0.97*0.075-(ROUNDDOWN($E$7*C40/12/2,2)+ROUNDDOWN($E$7*C40/12/2,2)*0.01)*0.97*0.005-ROUND((($E$7*C40/12/2)*0.01)*0.05,2)</f>
        <v>1044.85024016</v>
      </c>
      <c r="E40" s="99">
        <v>2</v>
      </c>
      <c r="F40" s="100">
        <f>Indices!I6</f>
        <v>560</v>
      </c>
      <c r="G40" s="95">
        <f>ROUNDDOWN($E$7*F40/12/2,2)+ROUNDDOWN($E$7*F40/12/2,2)*0.01-ROUNDDOWN($E$7*F40/12/2,2)*Intro!$F$7-(ROUNDDOWN($E$7*F40/12/2,2)+ROUNDDOWN($E$7*F40/12/2,2)*0.01)*0.97*0.075-(ROUNDDOWN($E$7*F40/12/2,2)+ROUNDDOWN($E$7*F40/12/2,2)*0.01)*0.97*0.005-ROUND((($E$7*F40/12/2)*0.01)*0.05,2)</f>
        <v>1101.90770752</v>
      </c>
      <c r="H40" s="146"/>
      <c r="I40" s="147"/>
      <c r="J40" s="147"/>
      <c r="K40" s="147"/>
    </row>
    <row r="41" spans="2:11" ht="19.5" customHeight="1">
      <c r="B41" s="73">
        <v>9</v>
      </c>
      <c r="C41" s="74">
        <f>Indices!F13</f>
        <v>567</v>
      </c>
      <c r="D41" s="95">
        <f>ROUNDDOWN($E$7*C41/12/2,2)+ROUNDDOWN($E$7*C41/12/2,2)*0.01-ROUNDDOWN($E$7*C41/12/2,2)*Intro!$F$7-(ROUNDDOWN($E$7*C41/12/2,2)+ROUNDDOWN($E$7*C41/12/2,2)*0.01)*0.97*0.075-(ROUNDDOWN($E$7*C41/12/2,2)+ROUNDDOWN($E$7*C41/12/2,2)*0.01)*0.97*0.005-ROUND((($E$7*C41/12/2)*0.01)*0.05,2)</f>
        <v>1115.6745763200001</v>
      </c>
      <c r="E41" s="99">
        <v>3</v>
      </c>
      <c r="F41" s="100">
        <f>Indices!I7</f>
        <v>601</v>
      </c>
      <c r="G41" s="123">
        <f>ROUNDDOWN($E$7*F41/12/2,2)+ROUNDDOWN($E$7*F41/12/2,2)*0.01-ROUNDDOWN($E$7*F41/12/2,2)*Intro!$F$7-(ROUNDDOWN($E$7*F41/12/2,2)+ROUNDDOWN($E$7*F41/12/2,2)*0.01)*0.97*0.075-(ROUNDDOWN($E$7*F41/12/2,2)+ROUNDDOWN($E$7*F41/12/2,2)*0.01)*0.97*0.005-ROUND((($E$7*F41/12/2)*0.01)*0.05,2)</f>
        <v>1182.5799536</v>
      </c>
      <c r="H41" s="115" t="s">
        <v>43</v>
      </c>
      <c r="I41" s="116"/>
      <c r="J41" s="116"/>
      <c r="K41" s="101"/>
    </row>
    <row r="42" spans="2:11" ht="19.5" customHeight="1">
      <c r="B42" s="73">
        <v>10</v>
      </c>
      <c r="C42" s="74">
        <f>Indices!F14</f>
        <v>612</v>
      </c>
      <c r="D42" s="123">
        <f>ROUNDDOWN($E$7*C42/12/2,2)+ROUNDDOWN($E$7*C42/12/2,2)*0.01-ROUNDDOWN($E$7*C42/12/2,2)*Intro!$F$7-(ROUNDDOWN($E$7*C42/12/2,2)+ROUNDDOWN($E$7*C42/12/2,2)*0.01)*0.97*0.075-(ROUNDDOWN($E$7*C42/12/2,2)+ROUNDDOWN($E$7*C42/12/2,2)*0.01)*0.97*0.005-ROUND((($E$7*C42/12/2)*0.01)*0.05,2)</f>
        <v>1204.22174864</v>
      </c>
      <c r="E42" s="99">
        <v>4</v>
      </c>
      <c r="F42" s="100">
        <f>Indices!I8</f>
        <v>642</v>
      </c>
      <c r="G42" s="123">
        <f>ROUNDDOWN($E$7*F42/12/2,2)+ROUNDDOWN($E$7*F42/12/2,2)*0.01-ROUNDDOWN($E$7*F42/12/2,2)*Intro!$F$7-(ROUNDDOWN($E$7*F42/12/2,2)+ROUNDDOWN($E$7*F42/12/2,2)*0.01)*0.97*0.075-(ROUNDDOWN($E$7*F42/12/2,2)+ROUNDDOWN($E$7*F42/12/2,2)*0.01)*0.97*0.005-ROUND((($E$7*F42/12/2)*0.01)*0.05,2)</f>
        <v>1263.26219968</v>
      </c>
      <c r="H42" s="115" t="s">
        <v>44</v>
      </c>
      <c r="I42" s="101"/>
      <c r="J42" s="101"/>
      <c r="K42" s="101"/>
    </row>
    <row r="43" spans="2:11" ht="19.5" customHeight="1" thickBot="1">
      <c r="B43" s="78">
        <v>11</v>
      </c>
      <c r="C43" s="79">
        <f>Indices!F15</f>
        <v>658</v>
      </c>
      <c r="D43" s="124">
        <f>ROUNDDOWN($E$7*C43/12/2,2)+ROUNDDOWN($E$7*C43/12/2,2)*0.01-ROUNDDOWN($E$7*C43/12/2,2)*Intro!$F$7-(ROUNDDOWN($E$7*C43/12/2,2)+ROUNDDOWN($E$7*C43/12/2,2)*0.01)*0.97*0.075-(ROUNDDOWN($E$7*C43/12/2,2)+ROUNDDOWN($E$7*C43/12/2,2)*0.01)*0.97*0.005-ROUND((($E$7*C43/12/2)*0.01)*0.05,2)</f>
        <v>1294.7419046399998</v>
      </c>
      <c r="E43" s="99">
        <v>5</v>
      </c>
      <c r="F43" s="100">
        <f>Indices!I9</f>
        <v>695</v>
      </c>
      <c r="G43" s="123">
        <f>ROUNDDOWN($E$7*F43/12/2,2)+ROUNDDOWN($E$7*F43/12/2,2)*0.01-ROUNDDOWN($E$7*F43/12/2,2)*Intro!$F$7-(ROUNDDOWN($E$7*F43/12/2,2)+ROUNDDOWN($E$7*F43/12/2,2)*0.01)*0.97*0.075-(ROUNDDOWN($E$7*F43/12/2,2)+ROUNDDOWN($E$7*F43/12/2,2)*0.01)*0.97*0.005-ROUND((($E$7*F43/12/2)*0.01)*0.05,2)</f>
        <v>1367.5492244800002</v>
      </c>
      <c r="H43" s="146" t="s">
        <v>46</v>
      </c>
      <c r="I43" s="147"/>
      <c r="J43" s="147"/>
      <c r="K43" s="147"/>
    </row>
    <row r="44" spans="5:11" ht="19.5" customHeight="1" thickTop="1">
      <c r="E44" s="73">
        <v>6</v>
      </c>
      <c r="F44" s="100">
        <f>Indices!I10</f>
        <v>741</v>
      </c>
      <c r="G44" s="123">
        <f>ROUNDDOWN($E$7*F44/12/2,2)+ROUNDDOWN($E$7*F44/12/2,2)*0.01-ROUNDDOWN($E$7*F44/12/2,2)*Intro!$F$7-(ROUNDDOWN($E$7*F44/12/2,2)+ROUNDDOWN($E$7*F44/12/2,2)*0.01)*0.97*0.075-(ROUNDDOWN($E$7*F44/12/2,2)+ROUNDDOWN($E$7*F44/12/2,2)*0.01)*0.97*0.005-ROUND((($E$7*F44/12/2)*0.01)*0.05,2)</f>
        <v>1458.0593804799998</v>
      </c>
      <c r="H44" s="146"/>
      <c r="I44" s="147"/>
      <c r="J44" s="147"/>
      <c r="K44" s="147"/>
    </row>
    <row r="45" spans="3:9" ht="19.5" customHeight="1" thickBot="1">
      <c r="C45" s="58"/>
      <c r="D45" s="58"/>
      <c r="E45" s="78">
        <v>7</v>
      </c>
      <c r="F45" s="103">
        <f>Indices!I11</f>
        <v>783</v>
      </c>
      <c r="G45" s="124">
        <f>ROUNDDOWN($E$7*F45/12/2,2)+ROUNDDOWN($E$7*F45/12/2,2)*0.01-ROUNDDOWN($E$7*F45/12/2,2)*Intro!$F$7-(ROUNDDOWN($E$7*F45/12/2,2)+ROUNDDOWN($E$7*F45/12/2,2)*0.01)*0.97*0.075-(ROUNDDOWN($E$7*F45/12/2,2)+ROUNDDOWN($E$7*F45/12/2,2)*0.01)*0.97*0.005-ROUND((($E$7*F45/12/2)*0.01)*0.05,2)</f>
        <v>1540.6961059999999</v>
      </c>
      <c r="I45" s="118"/>
    </row>
    <row r="46" spans="3:9" ht="15" thickTop="1">
      <c r="C46" s="93"/>
      <c r="D46" s="93"/>
      <c r="I46" s="119"/>
    </row>
    <row r="47" spans="3:5" ht="14.25">
      <c r="C47" s="93"/>
      <c r="D47" s="93"/>
      <c r="E47" s="93"/>
    </row>
    <row r="48" spans="2:5" ht="14.25">
      <c r="B48" s="125" t="s">
        <v>31</v>
      </c>
      <c r="C48" s="93"/>
      <c r="D48" s="93"/>
      <c r="E48" s="93"/>
    </row>
    <row r="49" spans="3:5" ht="14.25">
      <c r="C49" s="58"/>
      <c r="D49" s="58"/>
      <c r="E49" s="58"/>
    </row>
  </sheetData>
  <sheetProtection password="CD3F" sheet="1" objects="1" scenarios="1" selectLockedCells="1"/>
  <mergeCells count="32">
    <mergeCell ref="G37:G38"/>
    <mergeCell ref="H39:K40"/>
    <mergeCell ref="H43:K44"/>
    <mergeCell ref="I28:J28"/>
    <mergeCell ref="H13:J13"/>
    <mergeCell ref="C30:D30"/>
    <mergeCell ref="D31:D32"/>
    <mergeCell ref="E35:G36"/>
    <mergeCell ref="D14:D15"/>
    <mergeCell ref="F14:G14"/>
    <mergeCell ref="F28:G28"/>
    <mergeCell ref="B2:C2"/>
    <mergeCell ref="E7:F7"/>
    <mergeCell ref="E8:F8"/>
    <mergeCell ref="E9:F9"/>
    <mergeCell ref="B4:H5"/>
    <mergeCell ref="F37:F38"/>
    <mergeCell ref="I4:J4"/>
    <mergeCell ref="I5:J5"/>
    <mergeCell ref="G7:J9"/>
    <mergeCell ref="H14:H15"/>
    <mergeCell ref="I14:J14"/>
    <mergeCell ref="F27:J27"/>
    <mergeCell ref="C12:J12"/>
    <mergeCell ref="C13:D13"/>
    <mergeCell ref="E13:G13"/>
    <mergeCell ref="B14:B15"/>
    <mergeCell ref="C14:C15"/>
    <mergeCell ref="B31:B32"/>
    <mergeCell ref="E37:E38"/>
    <mergeCell ref="C31:C32"/>
    <mergeCell ref="E14:E15"/>
  </mergeCells>
  <conditionalFormatting sqref="B16:J26">
    <cfRule type="expression" priority="1" dxfId="0" stopIfTrue="1">
      <formula>(EVEN(ROW())=ROW())</formula>
    </cfRule>
  </conditionalFormatting>
  <conditionalFormatting sqref="B33:D43 E39:G4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/>
  <pageMargins left="0.47" right="0.3937007874015748" top="0.3" bottom="0.1968503937007874" header="1.4173228346456694" footer="0"/>
  <pageSetup fitToHeight="1" fitToWidth="1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9"/>
  <sheetViews>
    <sheetView showGridLines="0" showRowColHeaders="0" zoomScale="85" zoomScaleNormal="85" zoomScaleSheetLayoutView="100" workbookViewId="0" topLeftCell="A2">
      <selection activeCell="C29" sqref="C29"/>
    </sheetView>
  </sheetViews>
  <sheetFormatPr defaultColWidth="11.19921875" defaultRowHeight="15"/>
  <cols>
    <col min="1" max="1" width="2.59765625" style="52" customWidth="1"/>
    <col min="2" max="2" width="8.09765625" style="52" customWidth="1"/>
    <col min="3" max="3" width="8.59765625" style="52" customWidth="1"/>
    <col min="4" max="4" width="12.59765625" style="52" customWidth="1"/>
    <col min="5" max="5" width="8.59765625" style="52" customWidth="1"/>
    <col min="6" max="7" width="12.59765625" style="52" customWidth="1"/>
    <col min="8" max="8" width="8.59765625" style="52" customWidth="1"/>
    <col min="9" max="10" width="12.59765625" style="52" customWidth="1"/>
    <col min="11" max="11" width="8.5" style="52" customWidth="1"/>
    <col min="12" max="12" width="8.8984375" style="52" customWidth="1"/>
    <col min="13" max="14" width="11" style="52" customWidth="1"/>
    <col min="15" max="15" width="11.09765625" style="52" customWidth="1"/>
    <col min="16" max="16384" width="11" style="52" customWidth="1"/>
  </cols>
  <sheetData>
    <row r="2" spans="2:10" ht="24" customHeight="1">
      <c r="B2" s="155" t="s">
        <v>33</v>
      </c>
      <c r="C2" s="155"/>
      <c r="D2" s="104"/>
      <c r="E2" s="104"/>
      <c r="F2" s="104"/>
      <c r="G2" s="104"/>
      <c r="H2" s="104"/>
      <c r="I2" s="104"/>
      <c r="J2" s="104"/>
    </row>
    <row r="3" ht="10.5" customHeight="1" thickBot="1">
      <c r="B3" s="53"/>
    </row>
    <row r="4" spans="2:10" s="54" customFormat="1" ht="36" customHeight="1" thickTop="1">
      <c r="B4" s="163" t="s">
        <v>54</v>
      </c>
      <c r="C4" s="164"/>
      <c r="D4" s="164"/>
      <c r="E4" s="164"/>
      <c r="F4" s="164"/>
      <c r="G4" s="164"/>
      <c r="H4" s="164"/>
      <c r="I4" s="170" t="s">
        <v>19</v>
      </c>
      <c r="J4" s="171"/>
    </row>
    <row r="5" spans="2:10" s="54" customFormat="1" ht="36" customHeight="1" thickBot="1">
      <c r="B5" s="165"/>
      <c r="C5" s="166"/>
      <c r="D5" s="166"/>
      <c r="E5" s="166"/>
      <c r="F5" s="166"/>
      <c r="G5" s="166"/>
      <c r="H5" s="166"/>
      <c r="I5" s="172">
        <v>38898</v>
      </c>
      <c r="J5" s="173"/>
    </row>
    <row r="6" spans="2:8" s="56" customFormat="1" ht="9.75" customHeight="1" thickTop="1">
      <c r="B6" s="55"/>
      <c r="C6" s="55"/>
      <c r="D6" s="55"/>
      <c r="E6" s="55"/>
      <c r="F6" s="55"/>
      <c r="G6" s="55"/>
      <c r="H6" s="55"/>
    </row>
    <row r="7" spans="2:11" s="58" customFormat="1" ht="18" customHeight="1">
      <c r="B7" s="57"/>
      <c r="D7" s="59" t="s">
        <v>4</v>
      </c>
      <c r="E7" s="156">
        <f>Intro!F2</f>
        <v>55.5635</v>
      </c>
      <c r="F7" s="157"/>
      <c r="G7" s="169" t="s">
        <v>32</v>
      </c>
      <c r="H7" s="169"/>
      <c r="I7" s="169"/>
      <c r="J7" s="169"/>
      <c r="K7" s="105"/>
    </row>
    <row r="8" spans="2:10" s="58" customFormat="1" ht="18" customHeight="1">
      <c r="B8" s="57"/>
      <c r="D8" s="59" t="s">
        <v>2</v>
      </c>
      <c r="E8" s="158">
        <f>ROUNDDOWN(E7/12,2)</f>
        <v>4.63</v>
      </c>
      <c r="F8" s="158"/>
      <c r="G8" s="169"/>
      <c r="H8" s="169"/>
      <c r="I8" s="169"/>
      <c r="J8" s="169"/>
    </row>
    <row r="9" spans="2:11" s="58" customFormat="1" ht="18" customHeight="1">
      <c r="B9" s="57"/>
      <c r="D9" s="59" t="s">
        <v>3</v>
      </c>
      <c r="E9" s="158">
        <f>ROUNDDOWN($E$7/12,2)-ROUNDDOWN($E$7/12,2)*Intro!$F$7-ROUNDDOWN($E$7/12,2)*0.97*0.075-ROUNDDOWN($E$7/12,2)*0.97*0.005-(ROUNDDOWN($E$7/12,2)-ROUNDDOWN($E$7/12,2)*Intro!$F$7)*0.01</f>
        <v>3.8522155600000008</v>
      </c>
      <c r="F9" s="158"/>
      <c r="G9" s="169"/>
      <c r="H9" s="169"/>
      <c r="I9" s="169"/>
      <c r="J9" s="169"/>
      <c r="K9" s="105"/>
    </row>
    <row r="10" spans="2:7" s="58" customFormat="1" ht="18" customHeight="1">
      <c r="B10" s="57"/>
      <c r="D10" s="107"/>
      <c r="E10" s="106"/>
      <c r="F10" s="106"/>
      <c r="G10" s="109"/>
    </row>
    <row r="11" s="58" customFormat="1" ht="22.5" customHeight="1" thickBot="1">
      <c r="J11" s="107" t="s">
        <v>39</v>
      </c>
    </row>
    <row r="12" spans="2:10" s="63" customFormat="1" ht="19.5" customHeight="1" thickBot="1" thickTop="1">
      <c r="B12" s="62"/>
      <c r="C12" s="177" t="s">
        <v>12</v>
      </c>
      <c r="D12" s="178"/>
      <c r="E12" s="178"/>
      <c r="F12" s="178"/>
      <c r="G12" s="178"/>
      <c r="H12" s="178"/>
      <c r="I12" s="178"/>
      <c r="J12" s="179"/>
    </row>
    <row r="13" spans="2:10" s="63" customFormat="1" ht="19.5" customHeight="1" thickBot="1" thickTop="1">
      <c r="B13" s="62"/>
      <c r="C13" s="160" t="s">
        <v>26</v>
      </c>
      <c r="D13" s="161"/>
      <c r="E13" s="160" t="s">
        <v>0</v>
      </c>
      <c r="F13" s="161"/>
      <c r="G13" s="161"/>
      <c r="H13" s="160" t="s">
        <v>1</v>
      </c>
      <c r="I13" s="161"/>
      <c r="J13" s="162"/>
    </row>
    <row r="14" spans="2:10" s="64" customFormat="1" ht="19.5" customHeight="1" thickTop="1">
      <c r="B14" s="148" t="s">
        <v>13</v>
      </c>
      <c r="C14" s="152" t="s">
        <v>14</v>
      </c>
      <c r="D14" s="167" t="s">
        <v>15</v>
      </c>
      <c r="E14" s="152" t="s">
        <v>14</v>
      </c>
      <c r="F14" s="180" t="s">
        <v>15</v>
      </c>
      <c r="G14" s="150"/>
      <c r="H14" s="152" t="s">
        <v>14</v>
      </c>
      <c r="I14" s="180" t="s">
        <v>15</v>
      </c>
      <c r="J14" s="150"/>
    </row>
    <row r="15" spans="2:10" s="64" customFormat="1" ht="43.5" thickBot="1">
      <c r="B15" s="149"/>
      <c r="C15" s="153"/>
      <c r="D15" s="168" t="s">
        <v>18</v>
      </c>
      <c r="E15" s="159"/>
      <c r="F15" s="65" t="s">
        <v>27</v>
      </c>
      <c r="G15" s="65" t="s">
        <v>28</v>
      </c>
      <c r="H15" s="159"/>
      <c r="I15" s="65" t="s">
        <v>27</v>
      </c>
      <c r="J15" s="65" t="s">
        <v>28</v>
      </c>
    </row>
    <row r="16" spans="2:10" ht="19.5" customHeight="1" thickTop="1">
      <c r="B16" s="67">
        <v>1</v>
      </c>
      <c r="C16" s="68">
        <f>Indices!C5</f>
        <v>341</v>
      </c>
      <c r="D16" s="71">
        <f>ROUNDDOWN($E$7*C16/12/2,2)-ROUNDDOWN($E$7*C16/12/2,2)*Intro!$F$7-ROUNDDOWN($E$7*C16/12/2,2)*0.97*0.075-ROUNDDOWN($E$7*C16/12/2,2)*0.97*0.005</f>
        <v>664.093752</v>
      </c>
      <c r="E16" s="70">
        <f>C16</f>
        <v>341</v>
      </c>
      <c r="F16" s="71">
        <f>ROUNDDOWN($E$7*E16/12/2,2)-ROUNDDOWN($E$7*E16/12/2,2)*Intro!$F$7-(ROUNDDOWN($E$7*E16/12/2,2)+ROUNDDOWN($F$28,2))*0.97*0.075-(ROUNDDOWN($E$7*E16/12/2,2)+ROUNDDOWN($F$28,2))*0.97*0.005-ROUND($F$28*0.05,2)</f>
        <v>640.207032</v>
      </c>
      <c r="G16" s="71">
        <f aca="true" t="shared" si="0" ref="G16:G26">F16+$F$28</f>
        <v>827.4070320000001</v>
      </c>
      <c r="H16" s="70">
        <f>C16</f>
        <v>341</v>
      </c>
      <c r="I16" s="71">
        <f>ROUNDDOWN($E$7*H16/12/2,2)-ROUNDDOWN($E$7*H16/12/2,2)*Intro!$F$7-(ROUNDDOWN($E$7*H16/12/2,2)+ROUNDDOWN($J$28,2))*0.97*0.075-(ROUNDDOWN($E$7*H16/12/2,2)+ROUNDDOWN($J$28,2))*0.97*0.005-ROUND($J$28*0.05,2)</f>
        <v>664.093752</v>
      </c>
      <c r="J16" s="71">
        <f aca="true" t="shared" si="1" ref="J16:J26">I16+$J$28</f>
        <v>664.093752</v>
      </c>
    </row>
    <row r="17" spans="2:10" ht="19.5" customHeight="1">
      <c r="B17" s="73">
        <v>2</v>
      </c>
      <c r="C17" s="74">
        <f>Indices!C6</f>
        <v>357</v>
      </c>
      <c r="D17" s="76">
        <f>ROUNDDOWN($E$7*C17/12/2,2)-ROUNDDOWN($E$7*C17/12/2,2)*Intro!$F$7-ROUNDDOWN($E$7*C17/12/2,2)*0.97*0.075-ROUNDDOWN($E$7*C17/12/2,2)*0.97*0.005</f>
        <v>695.2518</v>
      </c>
      <c r="E17" s="74">
        <f aca="true" t="shared" si="2" ref="E17:E26">C17</f>
        <v>357</v>
      </c>
      <c r="F17" s="76">
        <f>ROUNDDOWN($E$7*E17/12/2,2)-ROUNDDOWN($E$7*E17/12/2,2)*Intro!$F$7-(ROUNDDOWN($E$7*E17/12/2,2)+ROUNDDOWN($F$28,2))*0.97*0.075-(ROUNDDOWN($E$7*E17/12/2,2)+ROUNDDOWN($F$28,2))*0.97*0.005-ROUND($F$28*0.05,2)</f>
        <v>671.36508</v>
      </c>
      <c r="G17" s="76">
        <f t="shared" si="0"/>
        <v>858.5650800000001</v>
      </c>
      <c r="H17" s="74">
        <f aca="true" t="shared" si="3" ref="H17:H26">C17</f>
        <v>357</v>
      </c>
      <c r="I17" s="76">
        <f>ROUNDDOWN($E$7*H17/12/2,2)-ROUNDDOWN($E$7*H17/12/2,2)*Intro!$F$7-(ROUNDDOWN($E$7*H17/12/2,2)+ROUNDDOWN($J$28,2))*0.97*0.075-(ROUNDDOWN($E$7*H17/12/2,2)+ROUNDDOWN($J$28,2))*0.97*0.005-ROUND($J$28*0.05,2)</f>
        <v>695.2518</v>
      </c>
      <c r="J17" s="76">
        <f t="shared" si="1"/>
        <v>695.2518</v>
      </c>
    </row>
    <row r="18" spans="2:10" ht="19.5" customHeight="1">
      <c r="B18" s="73">
        <v>3</v>
      </c>
      <c r="C18" s="74">
        <f>Indices!C7</f>
        <v>366</v>
      </c>
      <c r="D18" s="76">
        <f>ROUNDDOWN($E$7*C18/12/2,2)-ROUNDDOWN($E$7*C18/12/2,2)*Intro!$F$7-ROUNDDOWN($E$7*C18/12/2,2)*0.97*0.075-ROUNDDOWN($E$7*C18/12/2,2)*0.97*0.005</f>
        <v>712.782408</v>
      </c>
      <c r="E18" s="74">
        <f t="shared" si="2"/>
        <v>366</v>
      </c>
      <c r="F18" s="76">
        <f>ROUNDDOWN($E$7*E18/12/2,2)-ROUNDDOWN($E$7*E18/12/2,2)*Intro!$F$7-(ROUNDDOWN($E$7*E18/12/2,2)+ROUNDDOWN($F$28,2))*0.97*0.075-(ROUNDDOWN($E$7*E18/12/2,2)+ROUNDDOWN($F$28,2))*0.97*0.005-ROUND($F$28*0.05,2)</f>
        <v>688.8956880000001</v>
      </c>
      <c r="G18" s="76">
        <f t="shared" si="0"/>
        <v>876.0956880000001</v>
      </c>
      <c r="H18" s="74">
        <f t="shared" si="3"/>
        <v>366</v>
      </c>
      <c r="I18" s="76">
        <f>ROUNDDOWN($E$7*H18/12/2,2)-ROUNDDOWN($E$7*H18/12/2,2)*Intro!$F$7-(ROUNDDOWN($E$7*H18/12/2,2)+ROUNDDOWN($J$28,2))*0.97*0.075-(ROUNDDOWN($E$7*H18/12/2,2)+ROUNDDOWN($J$28,2))*0.97*0.005-ROUND($J$28*0.05,2)</f>
        <v>712.782408</v>
      </c>
      <c r="J18" s="76">
        <f t="shared" si="1"/>
        <v>712.782408</v>
      </c>
    </row>
    <row r="19" spans="2:10" ht="19.5" customHeight="1">
      <c r="B19" s="73">
        <v>4</v>
      </c>
      <c r="C19" s="74">
        <f>Indices!C8</f>
        <v>373</v>
      </c>
      <c r="D19" s="76">
        <f>ROUNDDOWN($E$7*C19/12/2,2)-ROUNDDOWN($E$7*C19/12/2,2)*Intro!$F$7-ROUNDDOWN($E$7*C19/12/2,2)*0.97*0.075-ROUNDDOWN($E$7*C19/12/2,2)*0.97*0.005</f>
        <v>726.4098479999999</v>
      </c>
      <c r="E19" s="74">
        <f t="shared" si="2"/>
        <v>373</v>
      </c>
      <c r="F19" s="76">
        <f>ROUNDDOWN($E$7*E19/12/2,2)-ROUNDDOWN($E$7*E19/12/2,2)*Intro!$F$7-(ROUNDDOWN($E$7*E19/12/2,2)+ROUNDDOWN($F$28,2))*0.97*0.075-(ROUNDDOWN($E$7*E19/12/2,2)+ROUNDDOWN($F$28,2))*0.97*0.005-ROUND($F$28*0.05,2)</f>
        <v>702.5231279999999</v>
      </c>
      <c r="G19" s="76">
        <f t="shared" si="0"/>
        <v>889.7231279999999</v>
      </c>
      <c r="H19" s="74">
        <f t="shared" si="3"/>
        <v>373</v>
      </c>
      <c r="I19" s="76">
        <f>ROUNDDOWN($E$7*H19/12/2,2)-ROUNDDOWN($E$7*H19/12/2,2)*Intro!$F$7-(ROUNDDOWN($E$7*H19/12/2,2)+ROUNDDOWN($J$28,2))*0.97*0.075-(ROUNDDOWN($E$7*H19/12/2,2)+ROUNDDOWN($J$28,2))*0.97*0.005-ROUND($J$28*0.05,2)</f>
        <v>726.4098479999999</v>
      </c>
      <c r="J19" s="76">
        <f t="shared" si="1"/>
        <v>726.4098479999999</v>
      </c>
    </row>
    <row r="20" spans="2:10" ht="19.5" customHeight="1">
      <c r="B20" s="73">
        <v>5</v>
      </c>
      <c r="C20" s="74">
        <f>Indices!C9</f>
        <v>383</v>
      </c>
      <c r="D20" s="76">
        <f>ROUNDDOWN($E$7*C20/12/2,2)-ROUNDDOWN($E$7*C20/12/2,2)*Intro!$F$7-ROUNDDOWN($E$7*C20/12/2,2)*0.97*0.075-ROUNDDOWN($E$7*C20/12/2,2)*0.97*0.005</f>
        <v>745.8920400000001</v>
      </c>
      <c r="E20" s="74">
        <f t="shared" si="2"/>
        <v>383</v>
      </c>
      <c r="F20" s="76">
        <f>ROUNDDOWN($E$7*E20/12/2,2)-ROUNDDOWN($E$7*E20/12/2,2)*Intro!$F$7-(ROUNDDOWN($E$7*E20/12/2,2)+ROUNDDOWN($F$28,2))*0.97*0.075-(ROUNDDOWN($E$7*E20/12/2,2)+ROUNDDOWN($F$28,2))*0.97*0.005-ROUND($F$28*0.05,2)</f>
        <v>722.0053200000001</v>
      </c>
      <c r="G20" s="76">
        <f t="shared" si="0"/>
        <v>909.20532</v>
      </c>
      <c r="H20" s="74">
        <f t="shared" si="3"/>
        <v>383</v>
      </c>
      <c r="I20" s="76">
        <f>ROUNDDOWN($E$7*H20/12/2,2)-ROUNDDOWN($E$7*H20/12/2,2)*Intro!$F$7-(ROUNDDOWN($E$7*H20/12/2,2)+ROUNDDOWN($J$28,2))*0.97*0.075-(ROUNDDOWN($E$7*H20/12/2,2)+ROUNDDOWN($J$28,2))*0.97*0.005-ROUND($J$28*0.05,2)</f>
        <v>745.8920400000001</v>
      </c>
      <c r="J20" s="76">
        <f t="shared" si="1"/>
        <v>745.8920400000001</v>
      </c>
    </row>
    <row r="21" spans="2:10" ht="19.5" customHeight="1">
      <c r="B21" s="73">
        <v>6</v>
      </c>
      <c r="C21" s="74">
        <f>Indices!C10</f>
        <v>390</v>
      </c>
      <c r="D21" s="76">
        <f>ROUNDDOWN($E$7*C21/12/2,2)-ROUNDDOWN($E$7*C21/12/2,2)*Intro!$F$7-ROUNDDOWN($E$7*C21/12/2,2)*0.97*0.075-ROUNDDOWN($E$7*C21/12/2,2)*0.97*0.005</f>
        <v>759.51948</v>
      </c>
      <c r="E21" s="74">
        <f t="shared" si="2"/>
        <v>390</v>
      </c>
      <c r="F21" s="76">
        <f>ROUNDDOWN($E$7*E21/12/2,2)-ROUNDDOWN($E$7*E21/12/2,2)*Intro!$F$7-(ROUNDDOWN($E$7*E21/12/2,2)+ROUNDDOWN($F$28,2))*0.97*0.075-(ROUNDDOWN($E$7*E21/12/2,2)+ROUNDDOWN($F$28,2))*0.97*0.005-ROUND($F$28*0.05,2)</f>
        <v>735.6327600000001</v>
      </c>
      <c r="G21" s="76">
        <f t="shared" si="0"/>
        <v>922.83276</v>
      </c>
      <c r="H21" s="74">
        <f t="shared" si="3"/>
        <v>390</v>
      </c>
      <c r="I21" s="76">
        <f>ROUNDDOWN($E$7*H21/12/2,2)-ROUNDDOWN($E$7*H21/12/2,2)*Intro!$F$7-(ROUNDDOWN($E$7*H21/12/2,2)+ROUNDDOWN($J$28,2))*0.97*0.075-(ROUNDDOWN($E$7*H21/12/2,2)+ROUNDDOWN($J$28,2))*0.97*0.005-ROUND($J$28*0.05,2)</f>
        <v>759.51948</v>
      </c>
      <c r="J21" s="76">
        <f t="shared" si="1"/>
        <v>759.51948</v>
      </c>
    </row>
    <row r="22" spans="2:10" ht="19.5" customHeight="1">
      <c r="B22" s="73">
        <v>7</v>
      </c>
      <c r="C22" s="74">
        <f>Indices!C11</f>
        <v>399</v>
      </c>
      <c r="D22" s="76">
        <f>ROUNDDOWN($E$7*C22/12/2,2)-ROUNDDOWN($E$7*C22/12/2,2)*Intro!$F$7-ROUNDDOWN($E$7*C22/12/2,2)*0.97*0.075-ROUNDDOWN($E$7*C22/12/2,2)*0.97*0.005</f>
        <v>777.050088</v>
      </c>
      <c r="E22" s="74">
        <f t="shared" si="2"/>
        <v>399</v>
      </c>
      <c r="F22" s="76">
        <f>ROUNDDOWN($E$7*E22/12/2,2)-ROUNDDOWN($E$7*E22/12/2,2)*Intro!$F$7-(ROUNDDOWN($E$7*E22/12/2,2)+ROUNDDOWN($F$28,2))*0.97*0.075-(ROUNDDOWN($E$7*E22/12/2,2)+ROUNDDOWN($F$28,2))*0.97*0.005-ROUND($F$28*0.05,2)</f>
        <v>753.163368</v>
      </c>
      <c r="G22" s="76">
        <f t="shared" si="0"/>
        <v>940.363368</v>
      </c>
      <c r="H22" s="74">
        <f t="shared" si="3"/>
        <v>399</v>
      </c>
      <c r="I22" s="76">
        <f>ROUNDDOWN($E$7*H22/12/2,2)-ROUNDDOWN($E$7*H22/12/2,2)*Intro!$F$7-(ROUNDDOWN($E$7*H22/12/2,2)+ROUNDDOWN($J$28,2))*0.97*0.075-(ROUNDDOWN($E$7*H22/12/2,2)+ROUNDDOWN($J$28,2))*0.97*0.005-ROUND($J$28*0.05,2)</f>
        <v>777.050088</v>
      </c>
      <c r="J22" s="76">
        <f t="shared" si="1"/>
        <v>777.050088</v>
      </c>
    </row>
    <row r="23" spans="2:10" ht="19.5" customHeight="1">
      <c r="B23" s="73">
        <v>8</v>
      </c>
      <c r="C23" s="74">
        <f>Indices!C12</f>
        <v>420</v>
      </c>
      <c r="D23" s="76">
        <f>ROUNDDOWN($E$7*C23/12/2,2)-ROUNDDOWN($E$7*C23/12/2,2)*Intro!$F$7-ROUNDDOWN($E$7*C23/12/2,2)*0.97*0.075-ROUNDDOWN($E$7*C23/12/2,2)*0.97*0.005</f>
        <v>817.9492319999999</v>
      </c>
      <c r="E23" s="74">
        <f t="shared" si="2"/>
        <v>420</v>
      </c>
      <c r="F23" s="76">
        <f>ROUNDDOWN($E$7*E23/12/2,2)-ROUNDDOWN($E$7*E23/12/2,2)*Intro!$F$7-(ROUNDDOWN($E$7*E23/12/2,2)+ROUNDDOWN($F$28,2))*0.97*0.075-(ROUNDDOWN($E$7*E23/12/2,2)+ROUNDDOWN($F$28,2))*0.97*0.005-ROUND($F$28*0.05,2)</f>
        <v>794.062512</v>
      </c>
      <c r="G23" s="76">
        <f t="shared" si="0"/>
        <v>981.262512</v>
      </c>
      <c r="H23" s="74">
        <f t="shared" si="3"/>
        <v>420</v>
      </c>
      <c r="I23" s="76">
        <f>ROUNDDOWN($E$7*H23/12/2,2)-ROUNDDOWN($E$7*H23/12/2,2)*Intro!$F$7-(ROUNDDOWN($E$7*H23/12/2,2)+ROUNDDOWN($J$28,2))*0.97*0.075-(ROUNDDOWN($E$7*H23/12/2,2)+ROUNDDOWN($J$28,2))*0.97*0.005-ROUND($J$28*0.05,2)</f>
        <v>817.9492319999999</v>
      </c>
      <c r="J23" s="76">
        <f t="shared" si="1"/>
        <v>817.9492319999999</v>
      </c>
    </row>
    <row r="24" spans="2:10" ht="19.5" customHeight="1">
      <c r="B24" s="73">
        <v>9</v>
      </c>
      <c r="C24" s="74">
        <f>Indices!C13</f>
        <v>441</v>
      </c>
      <c r="D24" s="76">
        <f>ROUNDDOWN($E$7*C24/12/2,2)-ROUNDDOWN($E$7*C24/12/2,2)*Intro!$F$7-ROUNDDOWN($E$7*C24/12/2,2)*0.97*0.075-ROUNDDOWN($E$7*C24/12/2,2)*0.97*0.005</f>
        <v>858.8399640000001</v>
      </c>
      <c r="E24" s="74">
        <f t="shared" si="2"/>
        <v>441</v>
      </c>
      <c r="F24" s="76">
        <f>ROUNDDOWN($E$7*E24/12/2,2)-ROUNDDOWN($E$7*E24/12/2,2)*Intro!$F$7-(ROUNDDOWN($E$7*E24/12/2,2)+ROUNDDOWN($F$28,2))*0.97*0.075-(ROUNDDOWN($E$7*E24/12/2,2)+ROUNDDOWN($F$28,2))*0.97*0.005-ROUND($F$28*0.05,2)</f>
        <v>834.953244</v>
      </c>
      <c r="G24" s="76">
        <f t="shared" si="0"/>
        <v>1022.1532440000001</v>
      </c>
      <c r="H24" s="74">
        <f t="shared" si="3"/>
        <v>441</v>
      </c>
      <c r="I24" s="76">
        <f>ROUNDDOWN($E$7*H24/12/2,2)-ROUNDDOWN($E$7*H24/12/2,2)*Intro!$F$7-(ROUNDDOWN($E$7*H24/12/2,2)+ROUNDDOWN($J$28,2))*0.97*0.075-(ROUNDDOWN($E$7*H24/12/2,2)+ROUNDDOWN($J$28,2))*0.97*0.005-ROUND($J$28*0.05,2)</f>
        <v>858.8399640000001</v>
      </c>
      <c r="J24" s="76">
        <f t="shared" si="1"/>
        <v>858.8399640000001</v>
      </c>
    </row>
    <row r="25" spans="2:10" ht="19.5" customHeight="1">
      <c r="B25" s="73">
        <v>10</v>
      </c>
      <c r="C25" s="74">
        <f>Indices!C14</f>
        <v>469</v>
      </c>
      <c r="D25" s="76">
        <f>ROUNDDOWN($E$7*C25/12/2,2)-ROUNDDOWN($E$7*C25/12/2,2)*Intro!$F$7-ROUNDDOWN($E$7*C25/12/2,2)*0.97*0.075-ROUNDDOWN($E$7*C25/12/2,2)*0.97*0.005</f>
        <v>913.37496</v>
      </c>
      <c r="E25" s="74">
        <f t="shared" si="2"/>
        <v>469</v>
      </c>
      <c r="F25" s="76">
        <f>ROUNDDOWN($E$7*E25/12/2,2)-ROUNDDOWN($E$7*E25/12/2,2)*Intro!$F$7-(ROUNDDOWN($E$7*E25/12/2,2)+ROUNDDOWN($F$28,2))*0.97*0.075-(ROUNDDOWN($E$7*E25/12/2,2)+ROUNDDOWN($F$28,2))*0.97*0.005-ROUND($F$28*0.05,2)</f>
        <v>889.4882399999999</v>
      </c>
      <c r="G25" s="76">
        <f t="shared" si="0"/>
        <v>1076.68824</v>
      </c>
      <c r="H25" s="74">
        <f t="shared" si="3"/>
        <v>469</v>
      </c>
      <c r="I25" s="76">
        <f>ROUNDDOWN($E$7*H25/12/2,2)-ROUNDDOWN($E$7*H25/12/2,2)*Intro!$F$7-(ROUNDDOWN($E$7*H25/12/2,2)+ROUNDDOWN($J$28,2))*0.97*0.075-(ROUNDDOWN($E$7*H25/12/2,2)+ROUNDDOWN($J$28,2))*0.97*0.005-ROUND($J$28*0.05,2)</f>
        <v>913.37496</v>
      </c>
      <c r="J25" s="76">
        <f t="shared" si="1"/>
        <v>913.37496</v>
      </c>
    </row>
    <row r="26" spans="2:10" ht="19.5" customHeight="1" thickBot="1">
      <c r="B26" s="78">
        <v>11</v>
      </c>
      <c r="C26" s="79">
        <f>Indices!C15</f>
        <v>515</v>
      </c>
      <c r="D26" s="81">
        <f>ROUNDDOWN($E$7*C26/12/2,2)-ROUNDDOWN($E$7*C26/12/2,2)*Intro!$F$7-ROUNDDOWN($E$7*C26/12/2,2)*0.97*0.075-ROUNDDOWN($E$7*C26/12/2,2)*0.97*0.005</f>
        <v>1002.96276</v>
      </c>
      <c r="E26" s="79">
        <f t="shared" si="2"/>
        <v>515</v>
      </c>
      <c r="F26" s="81">
        <f>ROUNDDOWN($E$7*E26/12/2,2)-ROUNDDOWN($E$7*E26/12/2,2)*Intro!$F$7-(ROUNDDOWN($E$7*E26/12/2,2)+ROUNDDOWN($F$28,2))*0.97*0.075-(ROUNDDOWN($E$7*E26/12/2,2)+ROUNDDOWN($F$28,2))*0.97*0.005-ROUND($F$28*0.05,2)</f>
        <v>979.07604</v>
      </c>
      <c r="G26" s="81">
        <f t="shared" si="0"/>
        <v>1166.27604</v>
      </c>
      <c r="H26" s="79">
        <f t="shared" si="3"/>
        <v>515</v>
      </c>
      <c r="I26" s="81">
        <f>ROUNDDOWN($E$7*H26/12/2,2)-ROUNDDOWN($E$7*H26/12/2,2)*Intro!$F$7-(ROUNDDOWN($E$7*H26/12/2,2)+ROUNDDOWN($J$28,2))*0.97*0.075-(ROUNDDOWN($E$7*H26/12/2,2)+ROUNDDOWN($J$28,2))*0.97*0.005-ROUND($J$28*0.05,2)</f>
        <v>1002.96276</v>
      </c>
      <c r="J26" s="81">
        <f t="shared" si="1"/>
        <v>1002.96276</v>
      </c>
    </row>
    <row r="27" spans="3:11" ht="19.5" customHeight="1" thickBot="1" thickTop="1">
      <c r="C27" s="83"/>
      <c r="D27" s="83"/>
      <c r="E27" s="83"/>
      <c r="F27" s="176" t="s">
        <v>10</v>
      </c>
      <c r="G27" s="176"/>
      <c r="H27" s="176"/>
      <c r="I27" s="176"/>
      <c r="J27" s="176"/>
      <c r="K27" s="117"/>
    </row>
    <row r="28" spans="3:10" s="86" customFormat="1" ht="16.5" thickBot="1" thickTop="1">
      <c r="C28" s="120" t="s">
        <v>9</v>
      </c>
      <c r="D28" s="122">
        <f>Intro!H4</f>
        <v>38717</v>
      </c>
      <c r="F28" s="174">
        <f>Intro!C4</f>
        <v>187.2</v>
      </c>
      <c r="G28" s="175"/>
      <c r="H28" s="121"/>
      <c r="I28" s="174">
        <f>Intro!F4</f>
        <v>234</v>
      </c>
      <c r="J28" s="175"/>
    </row>
    <row r="29" spans="3:11" s="86" customFormat="1" ht="39.75" customHeight="1" thickBot="1" thickTop="1">
      <c r="C29" s="87"/>
      <c r="D29" s="87"/>
      <c r="E29" s="88"/>
      <c r="F29" s="89"/>
      <c r="G29" s="89"/>
      <c r="H29" s="90"/>
      <c r="I29" s="91"/>
      <c r="J29" s="91"/>
      <c r="K29" s="91"/>
    </row>
    <row r="30" spans="3:12" ht="19.5" customHeight="1" thickBot="1" thickTop="1">
      <c r="C30" s="177" t="s">
        <v>17</v>
      </c>
      <c r="D30" s="179"/>
      <c r="E30" s="86"/>
      <c r="H30" s="86"/>
      <c r="K30" s="108"/>
      <c r="L30" s="108"/>
    </row>
    <row r="31" spans="2:12" s="58" customFormat="1" ht="19.5" customHeight="1" thickTop="1">
      <c r="B31" s="148" t="s">
        <v>13</v>
      </c>
      <c r="C31" s="152" t="s">
        <v>14</v>
      </c>
      <c r="D31" s="167" t="s">
        <v>15</v>
      </c>
      <c r="J31" s="109"/>
      <c r="K31" s="109"/>
      <c r="L31" s="109"/>
    </row>
    <row r="32" spans="2:4" s="93" customFormat="1" ht="19.5" customHeight="1" thickBot="1">
      <c r="B32" s="149"/>
      <c r="C32" s="153"/>
      <c r="D32" s="168" t="s">
        <v>18</v>
      </c>
    </row>
    <row r="33" spans="2:12" s="93" customFormat="1" ht="19.5" customHeight="1" thickTop="1">
      <c r="B33" s="67">
        <v>1</v>
      </c>
      <c r="C33" s="68">
        <f>Indices!F5</f>
        <v>349</v>
      </c>
      <c r="D33" s="94">
        <f>ROUNDDOWN($E$7*C33/12/2,2)-ROUNDDOWN($E$7*C33/12/2,2)*Intro!$F$7-ROUNDDOWN($E$7*C33/12/2,2)*0.97*0.075-ROUNDDOWN($E$7*C33/12/2,2)*0.97*0.005</f>
        <v>679.672776</v>
      </c>
      <c r="J33" s="109"/>
      <c r="K33" s="109"/>
      <c r="L33" s="109"/>
    </row>
    <row r="34" spans="2:4" s="93" customFormat="1" ht="19.5" customHeight="1" thickBot="1">
      <c r="B34" s="73">
        <v>2</v>
      </c>
      <c r="C34" s="74">
        <f>Indices!F6</f>
        <v>376</v>
      </c>
      <c r="D34" s="95">
        <f>ROUNDDOWN($E$7*C34/12/2,2)-ROUNDDOWN($E$7*C34/12/2,2)*Intro!$F$7-ROUNDDOWN($E$7*C34/12/2,2)*0.97*0.075-ROUNDDOWN($E$7*C34/12/2,2)*0.97*0.005</f>
        <v>732.256188</v>
      </c>
    </row>
    <row r="35" spans="2:11" s="58" customFormat="1" ht="19.5" customHeight="1" thickTop="1">
      <c r="B35" s="73">
        <v>3</v>
      </c>
      <c r="C35" s="74">
        <f>Indices!F7</f>
        <v>410</v>
      </c>
      <c r="D35" s="95">
        <f>ROUNDDOWN($E$7*C35/12/2,2)-ROUNDDOWN($E$7*C35/12/2,2)*Intro!$F$7-ROUNDDOWN($E$7*C35/12/2,2)*0.97*0.075-ROUNDDOWN($E$7*C35/12/2,2)*0.97*0.005</f>
        <v>798.4670400000001</v>
      </c>
      <c r="E35" s="181" t="s">
        <v>29</v>
      </c>
      <c r="F35" s="181"/>
      <c r="G35" s="182"/>
      <c r="H35" s="93"/>
      <c r="I35" s="93"/>
      <c r="J35" s="93"/>
      <c r="K35" s="109"/>
    </row>
    <row r="36" spans="2:10" ht="19.5" customHeight="1" thickBot="1">
      <c r="B36" s="73">
        <v>4</v>
      </c>
      <c r="C36" s="74">
        <f>Indices!F8</f>
        <v>431</v>
      </c>
      <c r="D36" s="95">
        <f>ROUNDDOWN($E$7*C36/12/2,2)-ROUNDDOWN($E$7*C36/12/2,2)*Intro!$F$7-ROUNDDOWN($E$7*C36/12/2,2)*0.97*0.075-ROUNDDOWN($E$7*C36/12/2,2)*0.97*0.005</f>
        <v>839.3661840000001</v>
      </c>
      <c r="E36" s="183"/>
      <c r="F36" s="183"/>
      <c r="G36" s="184"/>
      <c r="H36" s="93"/>
      <c r="I36" s="93"/>
      <c r="J36" s="93"/>
    </row>
    <row r="37" spans="2:11" ht="19.5" customHeight="1" thickTop="1">
      <c r="B37" s="73">
        <v>5</v>
      </c>
      <c r="C37" s="74">
        <f>Indices!F9</f>
        <v>453</v>
      </c>
      <c r="D37" s="95">
        <f>ROUNDDOWN($E$7*C37/12/2,2)-ROUNDDOWN($E$7*C37/12/2,2)*Intro!$F$7-ROUNDDOWN($E$7*C37/12/2,2)*0.97*0.075-ROUNDDOWN($E$7*C37/12/2,2)*0.97*0.005</f>
        <v>882.216912</v>
      </c>
      <c r="E37" s="150" t="s">
        <v>13</v>
      </c>
      <c r="F37" s="154" t="s">
        <v>14</v>
      </c>
      <c r="G37" s="167" t="s">
        <v>15</v>
      </c>
      <c r="H37" s="96" t="s">
        <v>16</v>
      </c>
      <c r="I37" s="114"/>
      <c r="J37" s="114"/>
      <c r="K37" s="114"/>
    </row>
    <row r="38" spans="2:11" ht="19.5" customHeight="1" thickBot="1">
      <c r="B38" s="73">
        <v>6</v>
      </c>
      <c r="C38" s="74">
        <f>Indices!F10</f>
        <v>467</v>
      </c>
      <c r="D38" s="95">
        <f>ROUNDDOWN($E$7*C38/12/2,2)-ROUNDDOWN($E$7*C38/12/2,2)*Intro!$F$7-ROUNDDOWN($E$7*C38/12/2,2)*0.97*0.075-ROUNDDOWN($E$7*C38/12/2,2)*0.97*0.005</f>
        <v>909.4802040000001</v>
      </c>
      <c r="E38" s="151"/>
      <c r="F38" s="126"/>
      <c r="G38" s="168" t="s">
        <v>18</v>
      </c>
      <c r="H38" s="115" t="s">
        <v>42</v>
      </c>
      <c r="I38" s="101"/>
      <c r="J38" s="101"/>
      <c r="K38" s="101"/>
    </row>
    <row r="39" spans="2:11" ht="19.5" customHeight="1" thickTop="1">
      <c r="B39" s="73">
        <v>7</v>
      </c>
      <c r="C39" s="74">
        <f>Indices!F11</f>
        <v>495</v>
      </c>
      <c r="D39" s="95">
        <f>ROUNDDOWN($E$7*C39/12/2,2)-ROUNDDOWN($E$7*C39/12/2,2)*Intro!$F$7-ROUNDDOWN($E$7*C39/12/2,2)*0.97*0.075-ROUNDDOWN($E$7*C39/12/2,2)*0.97*0.005</f>
        <v>964.0067879999999</v>
      </c>
      <c r="E39" s="97">
        <v>1</v>
      </c>
      <c r="F39" s="98">
        <f>Indices!I5</f>
        <v>495</v>
      </c>
      <c r="G39" s="94">
        <f>ROUNDDOWN($E$7*F39/12/2,2)-ROUNDDOWN($E$7*F39/12/2,2)*Intro!$F$7-ROUNDDOWN($E$7*F39/12/2,2)*0.97*0.075-ROUNDDOWN($E$7*F39/12/2,2)*0.97*0.005</f>
        <v>964.0067879999999</v>
      </c>
      <c r="H39" s="146" t="s">
        <v>49</v>
      </c>
      <c r="I39" s="147"/>
      <c r="J39" s="147"/>
      <c r="K39" s="147"/>
    </row>
    <row r="40" spans="2:11" ht="19.5" customHeight="1">
      <c r="B40" s="73">
        <v>8</v>
      </c>
      <c r="C40" s="74">
        <f>Indices!F12</f>
        <v>531</v>
      </c>
      <c r="D40" s="95">
        <f>ROUNDDOWN($E$7*C40/12/2,2)-ROUNDDOWN($E$7*C40/12/2,2)*Intro!$F$7-ROUNDDOWN($E$7*C40/12/2,2)*0.97*0.075-ROUNDDOWN($E$7*C40/12/2,2)*0.97*0.005</f>
        <v>1034.120808</v>
      </c>
      <c r="E40" s="99">
        <v>2</v>
      </c>
      <c r="F40" s="100">
        <f>Indices!I6</f>
        <v>560</v>
      </c>
      <c r="G40" s="95">
        <f>ROUNDDOWN($E$7*F40/12/2,2)-ROUNDDOWN($E$7*F40/12/2,2)*Intro!$F$7-ROUNDDOWN($E$7*F40/12/2,2)*0.97*0.075-ROUNDDOWN($E$7*F40/12/2,2)*0.97*0.005</f>
        <v>1090.5989760000002</v>
      </c>
      <c r="H40" s="146"/>
      <c r="I40" s="147"/>
      <c r="J40" s="147"/>
      <c r="K40" s="147"/>
    </row>
    <row r="41" spans="2:11" ht="19.5" customHeight="1">
      <c r="B41" s="73">
        <v>9</v>
      </c>
      <c r="C41" s="74">
        <f>Indices!F13</f>
        <v>567</v>
      </c>
      <c r="D41" s="95">
        <f>ROUNDDOWN($E$7*C41/12/2,2)-ROUNDDOWN($E$7*C41/12/2,2)*Intro!$F$7-ROUNDDOWN($E$7*C41/12/2,2)*0.97*0.075-ROUNDDOWN($E$7*C41/12/2,2)*0.97*0.005</f>
        <v>1104.226416</v>
      </c>
      <c r="E41" s="99">
        <v>3</v>
      </c>
      <c r="F41" s="100">
        <f>Indices!I7</f>
        <v>601</v>
      </c>
      <c r="G41" s="123">
        <f>ROUNDDOWN($E$7*F41/12/2,2)-ROUNDDOWN($E$7*F41/12/2,2)*Intro!$F$7-ROUNDDOWN($E$7*F41/12/2,2)*0.97*0.075-ROUNDDOWN($E$7*F41/12/2,2)*0.97*0.005</f>
        <v>1170.44568</v>
      </c>
      <c r="H41" s="115" t="s">
        <v>43</v>
      </c>
      <c r="I41" s="116"/>
      <c r="J41" s="116"/>
      <c r="K41" s="101"/>
    </row>
    <row r="42" spans="2:11" ht="19.5" customHeight="1">
      <c r="B42" s="73">
        <v>10</v>
      </c>
      <c r="C42" s="74">
        <f>Indices!F14</f>
        <v>612</v>
      </c>
      <c r="D42" s="123">
        <f>ROUNDDOWN($E$7*C42/12/2,2)-ROUNDDOWN($E$7*C42/12/2,2)*Intro!$F$7-ROUNDDOWN($E$7*C42/12/2,2)*0.97*0.075-ROUNDDOWN($E$7*C42/12/2,2)*0.97*0.005</f>
        <v>1191.8626319999998</v>
      </c>
      <c r="E42" s="99">
        <v>4</v>
      </c>
      <c r="F42" s="100">
        <f>Indices!I8</f>
        <v>642</v>
      </c>
      <c r="G42" s="123">
        <f>ROUNDDOWN($E$7*F42/12/2,2)-ROUNDDOWN($E$7*F42/12/2,2)*Intro!$F$7-ROUNDDOWN($E$7*F42/12/2,2)*0.97*0.075-ROUNDDOWN($E$7*F42/12/2,2)*0.97*0.005</f>
        <v>1250.2923839999999</v>
      </c>
      <c r="H42" s="115" t="s">
        <v>44</v>
      </c>
      <c r="I42" s="101"/>
      <c r="J42" s="101"/>
      <c r="K42" s="101"/>
    </row>
    <row r="43" spans="2:11" ht="19.5" customHeight="1" thickBot="1">
      <c r="B43" s="78">
        <v>11</v>
      </c>
      <c r="C43" s="79">
        <f>Indices!F15</f>
        <v>658</v>
      </c>
      <c r="D43" s="124">
        <f>ROUNDDOWN($E$7*C43/12/2,2)-ROUNDDOWN($E$7*C43/12/2,2)*Intro!$F$7-ROUNDDOWN($E$7*C43/12/2,2)*0.97*0.075-ROUNDDOWN($E$7*C43/12/2,2)*0.97*0.005</f>
        <v>1281.4504319999996</v>
      </c>
      <c r="E43" s="99">
        <v>5</v>
      </c>
      <c r="F43" s="100">
        <f>Indices!I9</f>
        <v>695</v>
      </c>
      <c r="G43" s="123">
        <f>ROUNDDOWN($E$7*F43/12/2,2)-ROUNDDOWN($E$7*F43/12/2,2)*Intro!$F$7-ROUNDDOWN($E$7*F43/12/2,2)*0.97*0.075-ROUNDDOWN($E$7*F43/12/2,2)*0.97*0.005</f>
        <v>1353.507624</v>
      </c>
      <c r="H43" s="146" t="s">
        <v>46</v>
      </c>
      <c r="I43" s="147"/>
      <c r="J43" s="147"/>
      <c r="K43" s="147"/>
    </row>
    <row r="44" spans="5:11" ht="19.5" customHeight="1" thickTop="1">
      <c r="E44" s="73">
        <v>6</v>
      </c>
      <c r="F44" s="100">
        <f>Indices!I10</f>
        <v>741</v>
      </c>
      <c r="G44" s="123">
        <f>ROUNDDOWN($E$7*F44/12/2,2)-ROUNDDOWN($E$7*F44/12/2,2)*Intro!$F$7-ROUNDDOWN($E$7*F44/12/2,2)*0.97*0.075-ROUNDDOWN($E$7*F44/12/2,2)*0.97*0.005</f>
        <v>1443.095424</v>
      </c>
      <c r="H44" s="146"/>
      <c r="I44" s="147"/>
      <c r="J44" s="147"/>
      <c r="K44" s="147"/>
    </row>
    <row r="45" spans="3:9" ht="19.5" customHeight="1" thickBot="1">
      <c r="C45" s="58"/>
      <c r="D45" s="58"/>
      <c r="E45" s="78">
        <v>7</v>
      </c>
      <c r="F45" s="103">
        <f>Indices!I11</f>
        <v>783</v>
      </c>
      <c r="G45" s="124">
        <f>ROUNDDOWN($E$7*F45/12/2,2)-ROUNDDOWN($E$7*F45/12/2,2)*Intro!$F$7-ROUNDDOWN($E$7*F45/12/2,2)*0.97*0.075-ROUNDDOWN($E$7*F45/12/2,2)*0.97*0.005</f>
        <v>1524.8853</v>
      </c>
      <c r="I45" s="118"/>
    </row>
    <row r="46" spans="3:9" ht="15" thickTop="1">
      <c r="C46" s="93"/>
      <c r="D46" s="93"/>
      <c r="I46" s="119"/>
    </row>
    <row r="47" spans="3:5" ht="14.25">
      <c r="C47" s="93"/>
      <c r="D47" s="93"/>
      <c r="E47" s="93"/>
    </row>
    <row r="48" spans="2:5" ht="14.25">
      <c r="B48" s="125" t="s">
        <v>31</v>
      </c>
      <c r="C48" s="93"/>
      <c r="D48" s="93"/>
      <c r="E48" s="93"/>
    </row>
    <row r="49" spans="3:5" ht="14.25">
      <c r="C49" s="58"/>
      <c r="D49" s="58"/>
      <c r="E49" s="58"/>
    </row>
  </sheetData>
  <sheetProtection password="CD3F" sheet="1" objects="1" scenarios="1" selectLockedCells="1"/>
  <mergeCells count="32">
    <mergeCell ref="H39:K40"/>
    <mergeCell ref="H43:K44"/>
    <mergeCell ref="C30:D30"/>
    <mergeCell ref="D31:D32"/>
    <mergeCell ref="E35:G36"/>
    <mergeCell ref="G37:G38"/>
    <mergeCell ref="I14:J14"/>
    <mergeCell ref="F27:J27"/>
    <mergeCell ref="F28:G28"/>
    <mergeCell ref="I28:J28"/>
    <mergeCell ref="H14:H15"/>
    <mergeCell ref="G7:J9"/>
    <mergeCell ref="C12:J12"/>
    <mergeCell ref="C13:D13"/>
    <mergeCell ref="E13:G13"/>
    <mergeCell ref="H13:J13"/>
    <mergeCell ref="B4:H5"/>
    <mergeCell ref="I4:J4"/>
    <mergeCell ref="I5:J5"/>
    <mergeCell ref="B2:C2"/>
    <mergeCell ref="B14:B15"/>
    <mergeCell ref="C14:C15"/>
    <mergeCell ref="E7:F7"/>
    <mergeCell ref="E8:F8"/>
    <mergeCell ref="E9:F9"/>
    <mergeCell ref="E14:E15"/>
    <mergeCell ref="D14:D15"/>
    <mergeCell ref="F14:G14"/>
    <mergeCell ref="B31:B32"/>
    <mergeCell ref="E37:E38"/>
    <mergeCell ref="C31:C32"/>
    <mergeCell ref="F37:F38"/>
  </mergeCells>
  <conditionalFormatting sqref="B16:J26">
    <cfRule type="expression" priority="1" dxfId="0" stopIfTrue="1">
      <formula>(EVEN(ROW())=ROW())</formula>
    </cfRule>
  </conditionalFormatting>
  <conditionalFormatting sqref="B33:D43 E39:G4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showGridLines="0" zoomScale="87" zoomScaleNormal="87" workbookViewId="0" topLeftCell="A1">
      <selection activeCell="L8" sqref="L8"/>
    </sheetView>
  </sheetViews>
  <sheetFormatPr defaultColWidth="11.19921875" defaultRowHeight="15"/>
  <cols>
    <col min="1" max="1" width="6.09765625" style="32" customWidth="1"/>
    <col min="2" max="3" width="16.69921875" style="32" customWidth="1"/>
    <col min="4" max="4" width="11" style="33" customWidth="1"/>
    <col min="5" max="6" width="16.69921875" style="32" customWidth="1"/>
    <col min="7" max="7" width="11" style="32" customWidth="1"/>
    <col min="8" max="9" width="16.69921875" style="32" customWidth="1"/>
    <col min="10" max="16384" width="11" style="32" customWidth="1"/>
  </cols>
  <sheetData>
    <row r="1" spans="2:9" ht="23.25">
      <c r="B1" s="201" t="s">
        <v>37</v>
      </c>
      <c r="C1" s="201"/>
      <c r="D1" s="201"/>
      <c r="E1" s="201"/>
      <c r="F1" s="201"/>
      <c r="G1" s="201"/>
      <c r="H1" s="201"/>
      <c r="I1" s="201"/>
    </row>
    <row r="2" ht="24" thickBot="1"/>
    <row r="3" spans="2:9" s="31" customFormat="1" ht="23.25" thickBot="1">
      <c r="B3" s="205" t="s">
        <v>34</v>
      </c>
      <c r="C3" s="206"/>
      <c r="D3" s="30"/>
      <c r="E3" s="205" t="s">
        <v>35</v>
      </c>
      <c r="F3" s="206"/>
      <c r="H3" s="205" t="s">
        <v>36</v>
      </c>
      <c r="I3" s="206"/>
    </row>
    <row r="4" spans="2:9" s="34" customFormat="1" ht="23.25">
      <c r="B4" s="39" t="s">
        <v>13</v>
      </c>
      <c r="C4" s="40" t="s">
        <v>14</v>
      </c>
      <c r="D4" s="35"/>
      <c r="E4" s="39" t="s">
        <v>13</v>
      </c>
      <c r="F4" s="40" t="s">
        <v>14</v>
      </c>
      <c r="H4" s="39" t="s">
        <v>13</v>
      </c>
      <c r="I4" s="40" t="s">
        <v>14</v>
      </c>
    </row>
    <row r="5" spans="2:9" ht="23.25">
      <c r="B5" s="36">
        <v>1</v>
      </c>
      <c r="C5" s="37">
        <v>341</v>
      </c>
      <c r="E5" s="36">
        <v>1</v>
      </c>
      <c r="F5" s="37">
        <v>349</v>
      </c>
      <c r="H5" s="36">
        <v>1</v>
      </c>
      <c r="I5" s="37">
        <v>495</v>
      </c>
    </row>
    <row r="6" spans="2:9" ht="23.25">
      <c r="B6" s="36">
        <v>2</v>
      </c>
      <c r="C6" s="37">
        <v>357</v>
      </c>
      <c r="E6" s="36">
        <v>2</v>
      </c>
      <c r="F6" s="37">
        <v>376</v>
      </c>
      <c r="H6" s="36">
        <v>2</v>
      </c>
      <c r="I6" s="37">
        <v>560</v>
      </c>
    </row>
    <row r="7" spans="2:9" ht="23.25">
      <c r="B7" s="36">
        <v>3</v>
      </c>
      <c r="C7" s="37">
        <v>366</v>
      </c>
      <c r="E7" s="36">
        <v>3</v>
      </c>
      <c r="F7" s="43">
        <v>410</v>
      </c>
      <c r="H7" s="36">
        <v>3</v>
      </c>
      <c r="I7" s="37">
        <v>601</v>
      </c>
    </row>
    <row r="8" spans="2:9" ht="23.25">
      <c r="B8" s="36">
        <v>4</v>
      </c>
      <c r="C8" s="37">
        <v>373</v>
      </c>
      <c r="E8" s="36">
        <v>4</v>
      </c>
      <c r="F8" s="43">
        <v>431</v>
      </c>
      <c r="H8" s="36">
        <v>4</v>
      </c>
      <c r="I8" s="37">
        <v>642</v>
      </c>
    </row>
    <row r="9" spans="2:9" ht="23.25">
      <c r="B9" s="36">
        <v>5</v>
      </c>
      <c r="C9" s="37">
        <v>383</v>
      </c>
      <c r="E9" s="36">
        <v>5</v>
      </c>
      <c r="F9" s="43">
        <v>453</v>
      </c>
      <c r="H9" s="36">
        <v>5</v>
      </c>
      <c r="I9" s="37">
        <v>695</v>
      </c>
    </row>
    <row r="10" spans="2:9" ht="23.25">
      <c r="B10" s="36">
        <v>6</v>
      </c>
      <c r="C10" s="37">
        <v>390</v>
      </c>
      <c r="E10" s="36">
        <v>6</v>
      </c>
      <c r="F10" s="37">
        <v>467</v>
      </c>
      <c r="H10" s="36">
        <v>6</v>
      </c>
      <c r="I10" s="37">
        <v>741</v>
      </c>
    </row>
    <row r="11" spans="2:9" ht="23.25">
      <c r="B11" s="36">
        <v>7</v>
      </c>
      <c r="C11" s="37">
        <v>399</v>
      </c>
      <c r="E11" s="36">
        <v>7</v>
      </c>
      <c r="F11" s="37">
        <v>495</v>
      </c>
      <c r="H11" s="36">
        <v>7</v>
      </c>
      <c r="I11" s="37">
        <v>783</v>
      </c>
    </row>
    <row r="12" spans="2:6" ht="23.25">
      <c r="B12" s="36">
        <v>8</v>
      </c>
      <c r="C12" s="37">
        <v>420</v>
      </c>
      <c r="E12" s="36">
        <v>8</v>
      </c>
      <c r="F12" s="37">
        <v>531</v>
      </c>
    </row>
    <row r="13" spans="2:6" ht="23.25">
      <c r="B13" s="36">
        <v>9</v>
      </c>
      <c r="C13" s="37">
        <v>441</v>
      </c>
      <c r="E13" s="36">
        <v>9</v>
      </c>
      <c r="F13" s="37">
        <v>567</v>
      </c>
    </row>
    <row r="14" spans="2:6" ht="23.25">
      <c r="B14" s="36">
        <v>10</v>
      </c>
      <c r="C14" s="37">
        <v>469</v>
      </c>
      <c r="E14" s="36">
        <v>10</v>
      </c>
      <c r="F14" s="37">
        <v>612</v>
      </c>
    </row>
    <row r="15" spans="2:6" ht="24" thickBot="1">
      <c r="B15" s="38">
        <v>11</v>
      </c>
      <c r="C15" s="41">
        <v>515</v>
      </c>
      <c r="E15" s="38">
        <v>11</v>
      </c>
      <c r="F15" s="41">
        <v>658</v>
      </c>
    </row>
    <row r="17" spans="2:9" ht="23.25">
      <c r="B17" s="202" t="s">
        <v>38</v>
      </c>
      <c r="C17" s="202"/>
      <c r="D17" s="202"/>
      <c r="E17" s="202"/>
      <c r="F17" s="202"/>
      <c r="G17" s="202"/>
      <c r="H17" s="202"/>
      <c r="I17" s="202"/>
    </row>
    <row r="18" spans="2:9" ht="24" thickBot="1">
      <c r="B18" s="44"/>
      <c r="C18" s="44"/>
      <c r="D18" s="45"/>
      <c r="E18" s="44"/>
      <c r="F18" s="44"/>
      <c r="G18" s="44"/>
      <c r="H18" s="44"/>
      <c r="I18" s="44"/>
    </row>
    <row r="19" spans="2:9" ht="24" thickBot="1">
      <c r="B19" s="44"/>
      <c r="C19" s="44"/>
      <c r="D19" s="45"/>
      <c r="E19" s="203" t="s">
        <v>35</v>
      </c>
      <c r="F19" s="204"/>
      <c r="G19" s="44"/>
      <c r="H19" s="44"/>
      <c r="I19" s="44"/>
    </row>
    <row r="20" spans="2:9" ht="23.25">
      <c r="B20" s="44"/>
      <c r="C20" s="44"/>
      <c r="D20" s="45"/>
      <c r="E20" s="46" t="s">
        <v>13</v>
      </c>
      <c r="F20" s="47" t="s">
        <v>14</v>
      </c>
      <c r="G20" s="44"/>
      <c r="H20" s="44"/>
      <c r="I20" s="44"/>
    </row>
    <row r="21" spans="2:9" ht="23.25">
      <c r="B21" s="44"/>
      <c r="C21" s="44"/>
      <c r="D21" s="45"/>
      <c r="E21" s="48">
        <v>1</v>
      </c>
      <c r="F21" s="49">
        <v>349</v>
      </c>
      <c r="G21" s="44"/>
      <c r="H21" s="44"/>
      <c r="I21" s="44"/>
    </row>
    <row r="22" spans="2:9" ht="23.25">
      <c r="B22" s="44"/>
      <c r="C22" s="44"/>
      <c r="D22" s="45"/>
      <c r="E22" s="48">
        <v>2</v>
      </c>
      <c r="F22" s="49">
        <v>376</v>
      </c>
      <c r="G22" s="44"/>
      <c r="H22" s="44"/>
      <c r="I22" s="44"/>
    </row>
    <row r="23" spans="2:9" ht="23.25">
      <c r="B23" s="44"/>
      <c r="C23" s="44"/>
      <c r="D23" s="45"/>
      <c r="E23" s="48">
        <v>3</v>
      </c>
      <c r="F23" s="49">
        <v>395</v>
      </c>
      <c r="G23" s="44"/>
      <c r="H23" s="44"/>
      <c r="I23" s="44"/>
    </row>
    <row r="24" spans="2:9" ht="23.25">
      <c r="B24" s="44"/>
      <c r="C24" s="44"/>
      <c r="D24" s="45"/>
      <c r="E24" s="48">
        <v>4</v>
      </c>
      <c r="F24" s="49">
        <v>416</v>
      </c>
      <c r="G24" s="44"/>
      <c r="H24" s="44"/>
      <c r="I24" s="44"/>
    </row>
    <row r="25" spans="2:9" ht="23.25">
      <c r="B25" s="44"/>
      <c r="C25" s="44"/>
      <c r="D25" s="45"/>
      <c r="E25" s="48">
        <v>5</v>
      </c>
      <c r="F25" s="49">
        <v>439</v>
      </c>
      <c r="G25" s="44"/>
      <c r="H25" s="44"/>
      <c r="I25" s="44"/>
    </row>
    <row r="26" spans="2:9" ht="23.25">
      <c r="B26" s="44"/>
      <c r="C26" s="44"/>
      <c r="D26" s="45"/>
      <c r="E26" s="48">
        <v>6</v>
      </c>
      <c r="F26" s="49">
        <v>467</v>
      </c>
      <c r="G26" s="44"/>
      <c r="H26" s="44"/>
      <c r="I26" s="44"/>
    </row>
    <row r="27" spans="2:9" ht="23.25">
      <c r="B27" s="44"/>
      <c r="C27" s="44"/>
      <c r="D27" s="45"/>
      <c r="E27" s="48">
        <v>7</v>
      </c>
      <c r="F27" s="49">
        <v>495</v>
      </c>
      <c r="G27" s="44"/>
      <c r="H27" s="44"/>
      <c r="I27" s="44"/>
    </row>
    <row r="28" spans="2:9" ht="23.25">
      <c r="B28" s="44"/>
      <c r="C28" s="44"/>
      <c r="D28" s="45"/>
      <c r="E28" s="48">
        <v>8</v>
      </c>
      <c r="F28" s="49">
        <v>531</v>
      </c>
      <c r="G28" s="44"/>
      <c r="H28" s="44"/>
      <c r="I28" s="44"/>
    </row>
    <row r="29" spans="2:9" ht="23.25">
      <c r="B29" s="44"/>
      <c r="C29" s="44"/>
      <c r="D29" s="45"/>
      <c r="E29" s="48">
        <v>9</v>
      </c>
      <c r="F29" s="49">
        <v>567</v>
      </c>
      <c r="G29" s="44"/>
      <c r="H29" s="44"/>
      <c r="I29" s="44"/>
    </row>
    <row r="30" spans="2:9" ht="23.25">
      <c r="B30" s="44"/>
      <c r="C30" s="44"/>
      <c r="D30" s="45"/>
      <c r="E30" s="48">
        <v>10</v>
      </c>
      <c r="F30" s="49">
        <v>612</v>
      </c>
      <c r="G30" s="44"/>
      <c r="H30" s="44"/>
      <c r="I30" s="44"/>
    </row>
    <row r="31" spans="2:9" ht="24" thickBot="1">
      <c r="B31" s="44"/>
      <c r="C31" s="44"/>
      <c r="D31" s="45"/>
      <c r="E31" s="50">
        <v>11</v>
      </c>
      <c r="F31" s="51">
        <v>658</v>
      </c>
      <c r="G31" s="44"/>
      <c r="H31" s="44"/>
      <c r="I31" s="44"/>
    </row>
  </sheetData>
  <sheetProtection password="CD3F" sheet="1" objects="1" scenarios="1"/>
  <mergeCells count="6">
    <mergeCell ref="B1:I1"/>
    <mergeCell ref="B17:I17"/>
    <mergeCell ref="E19:F19"/>
    <mergeCell ref="B3:C3"/>
    <mergeCell ref="E3:F3"/>
    <mergeCell ref="H3:I3"/>
  </mergeCells>
  <conditionalFormatting sqref="B3:C15 E19:F31 H3:I11 E3:F15">
    <cfRule type="expression" priority="1" dxfId="1" stopIfTrue="1">
      <formula>(EVEN(ROW())=ROW())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</cp:lastModifiedBy>
  <cp:lastPrinted>2010-07-06T13:12:45Z</cp:lastPrinted>
  <dcterms:created xsi:type="dcterms:W3CDTF">2001-03-06T15:12:50Z</dcterms:created>
  <dcterms:modified xsi:type="dcterms:W3CDTF">2011-06-22T12:00:06Z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