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50" windowWidth="15360" windowHeight="8625" tabRatio="904" activeTab="0"/>
  </bookViews>
  <sheets>
    <sheet name="Intro" sheetId="1" r:id="rId1"/>
    <sheet name="Zone 1 _ 3_100 " sheetId="2" r:id="rId2"/>
    <sheet name="Zone 2 _ 1_100" sheetId="3" r:id="rId3"/>
    <sheet name="Zone 3 _ 0_100" sheetId="4" r:id="rId4"/>
    <sheet name="Zone 1 _ mi_temps" sheetId="5" r:id="rId5"/>
    <sheet name="Zone 2 _ mi_temps" sheetId="6" r:id="rId6"/>
    <sheet name="Zone 3 _ mi_temps" sheetId="7" r:id="rId7"/>
    <sheet name="Indices" sheetId="8" r:id="rId8"/>
  </sheets>
  <definedNames>
    <definedName name="inddiff">"Objet 2"</definedName>
    <definedName name="_xlnm.Print_Area" localSheetId="7">'Indices'!$A$1:$I$31</definedName>
    <definedName name="_xlnm.Print_Area" localSheetId="0">'Intro'!$A$1:$N$21</definedName>
    <definedName name="_xlnm.Print_Area" localSheetId="1">'Zone 1 _ 3_100 '!$B$4:$K$27</definedName>
    <definedName name="_xlnm.Print_Area" localSheetId="4">'Zone 1 _ mi_temps'!$B$4:$K$29</definedName>
    <definedName name="_xlnm.Print_Area" localSheetId="2">'Zone 2 _ 1_100'!$A$3:$L$48</definedName>
    <definedName name="_xlnm.Print_Area" localSheetId="5">'Zone 2 _ mi_temps'!$B$4:$K$29</definedName>
    <definedName name="_xlnm.Print_Area" localSheetId="3">'Zone 3 _ 0_100'!$B$4:$K$26</definedName>
    <definedName name="_xlnm.Print_Area" localSheetId="6">'Zone 3 _ mi_temps'!$B$4:$K$46</definedName>
  </definedNames>
  <calcPr fullCalcOnLoad="1"/>
</workbook>
</file>

<file path=xl/sharedStrings.xml><?xml version="1.0" encoding="utf-8"?>
<sst xmlns="http://schemas.openxmlformats.org/spreadsheetml/2006/main" count="282" uniqueCount="60">
  <si>
    <t>avec IRL célibataire</t>
  </si>
  <si>
    <t>avec IRL marié/enfant</t>
  </si>
  <si>
    <t xml:space="preserve">Valeur brute mensuelle </t>
  </si>
  <si>
    <t xml:space="preserve">Valeur nette mensuelle </t>
  </si>
  <si>
    <t xml:space="preserve">Valeur annuelle pt indiciaire </t>
  </si>
  <si>
    <t>marié/enft</t>
  </si>
  <si>
    <t xml:space="preserve">Montant IRL  </t>
  </si>
  <si>
    <t>taux au</t>
  </si>
  <si>
    <t>Zone 2 : indemnité de résidence à 1%</t>
  </si>
  <si>
    <t>Taux au</t>
  </si>
  <si>
    <t>I. R. L. versée à part (hors fiche de paie)</t>
  </si>
  <si>
    <t>(indemnité de résidence + 1% incluse)</t>
  </si>
  <si>
    <t>Instituteur (trice)</t>
  </si>
  <si>
    <t>Echelon</t>
  </si>
  <si>
    <t>Indice</t>
  </si>
  <si>
    <t>Net mensuel</t>
  </si>
  <si>
    <t xml:space="preserve">* sont retirés du salaire brut : </t>
  </si>
  <si>
    <t>Prof des écoles</t>
  </si>
  <si>
    <t>en €</t>
  </si>
  <si>
    <t>au</t>
  </si>
  <si>
    <t>(indemnité de résidence + 3% incluse)</t>
  </si>
  <si>
    <t>à mettre à jour</t>
  </si>
  <si>
    <t>valeur point indice</t>
  </si>
  <si>
    <t>Zone 1 : indemnité de résidence à 3%</t>
  </si>
  <si>
    <t>Zone 3 : indemnité de résidence à 0%</t>
  </si>
  <si>
    <t>Pour connaître son salaire net en fonction des échelons, cliquez ci-dessous sur votre zone de résidence</t>
  </si>
  <si>
    <t>sans IRL</t>
  </si>
  <si>
    <t>Fiche de paie</t>
  </si>
  <si>
    <r>
      <t xml:space="preserve">Réel mensuel </t>
    </r>
    <r>
      <rPr>
        <i/>
        <sz val="10"/>
        <rFont val="Times New Roman"/>
        <family val="1"/>
      </rPr>
      <t>(avec IRL)</t>
    </r>
  </si>
  <si>
    <r>
      <t xml:space="preserve">P.E. Hors Classe
</t>
    </r>
    <r>
      <rPr>
        <sz val="9"/>
        <rFont val="Times New Roman"/>
        <family val="1"/>
      </rPr>
      <t>(accès possible en théorie à partir du 7ème échelon PE)</t>
    </r>
  </si>
  <si>
    <t>si mi-temps</t>
  </si>
  <si>
    <t>En italique, montant soumis à contribution solidarité (plafond dépassé)</t>
  </si>
  <si>
    <t>Hors cotisation MGEN</t>
  </si>
  <si>
    <t>RETOUR</t>
  </si>
  <si>
    <t>Instituteurs (trices)</t>
  </si>
  <si>
    <t>PE</t>
  </si>
  <si>
    <t>PE Hors Classe</t>
  </si>
  <si>
    <t>Le net mensuel ci-dessous est arrondi à l'€ le plus proche</t>
  </si>
  <si>
    <r>
      <t xml:space="preserve">Traitements nets arrondis </t>
    </r>
    <r>
      <rPr>
        <b/>
        <sz val="14"/>
        <rFont val="Arial"/>
        <family val="2"/>
      </rPr>
      <t xml:space="preserve">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1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2</t>
    </r>
    <r>
      <rPr>
        <b/>
        <sz val="12"/>
        <rFont val="Arial"/>
        <family val="2"/>
      </rPr>
      <t>)</t>
    </r>
  </si>
  <si>
    <r>
      <t xml:space="preserve">Réel mensuel </t>
    </r>
    <r>
      <rPr>
        <i/>
        <sz val="10"/>
        <rFont val="Arial"/>
        <family val="2"/>
      </rPr>
      <t>(avec IRL)</t>
    </r>
  </si>
  <si>
    <r>
      <t xml:space="preserve">P.E. Hors Classe
</t>
    </r>
    <r>
      <rPr>
        <sz val="7"/>
        <rFont val="Arial"/>
        <family val="2"/>
      </rPr>
      <t>(accès possible en théorie à partir du 7ème échelon PE)</t>
    </r>
  </si>
  <si>
    <r>
      <t>Contribution solidarité</t>
    </r>
    <r>
      <rPr>
        <sz val="9"/>
        <rFont val="Arial"/>
        <family val="2"/>
      </rPr>
      <t xml:space="preserve"> 1% de (trait. brut + indemnités
(sauf ISSR et IRL) + supp. familial moins pension et RAFP)</t>
    </r>
  </si>
  <si>
    <t xml:space="preserve">Taux au </t>
  </si>
  <si>
    <r>
      <t>Traitements nets arrondis</t>
    </r>
    <r>
      <rPr>
        <b/>
        <sz val="14"/>
        <rFont val="Arial"/>
        <family val="2"/>
      </rPr>
      <t xml:space="preserve"> 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3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1</t>
    </r>
    <r>
      <rPr>
        <b/>
        <sz val="12"/>
        <rFont val="Arial"/>
        <family val="2"/>
      </rPr>
      <t>)</t>
    </r>
  </si>
  <si>
    <r>
      <t>Retraite Additionnelle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Fonction Publique (RAFP)
</t>
    </r>
    <r>
      <rPr>
        <sz val="9"/>
        <rFont val="Arial"/>
        <family val="2"/>
      </rPr>
      <t>5% de l'indemnité de résidence et IRL</t>
    </r>
  </si>
  <si>
    <r>
      <t xml:space="preserve">P.E. Hors Classe
</t>
    </r>
    <r>
      <rPr>
        <sz val="7"/>
        <rFont val="Times New Roman"/>
        <family val="1"/>
      </rPr>
      <t>(accès possible en théorie à partir du 7ème échelon PE)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</si>
  <si>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0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3</t>
    </r>
    <r>
      <rPr>
        <b/>
        <sz val="12"/>
        <rFont val="Times New Roman"/>
        <family val="1"/>
      </rPr>
      <t>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</si>
  <si>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3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1</t>
    </r>
    <r>
      <rPr>
        <b/>
        <sz val="12"/>
        <rFont val="Times New Roman"/>
        <family val="1"/>
      </rPr>
      <t>)</t>
    </r>
  </si>
  <si>
    <r>
      <t xml:space="preserve">Traitements nets arrondis </t>
    </r>
    <r>
      <rPr>
        <b/>
        <sz val="14"/>
        <rFont val="Times New Roman"/>
        <family val="1"/>
      </rPr>
      <t xml:space="preserve">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1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2</t>
    </r>
    <r>
      <rPr>
        <b/>
        <sz val="12"/>
        <rFont val="Times New Roman"/>
        <family val="1"/>
      </rPr>
      <t>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</si>
  <si>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0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3</t>
    </r>
    <r>
      <rPr>
        <b/>
        <sz val="12"/>
        <rFont val="Times New Roman"/>
        <family val="1"/>
      </rPr>
      <t>)</t>
    </r>
  </si>
  <si>
    <t>Taux retenue pension civile</t>
  </si>
  <si>
    <t>Ces échelons sont abandonnés depuis le 1/9/2010
(les PE accèdent désormais directement au 3ème échelon)</t>
  </si>
  <si>
    <t>au 01/02/2012</t>
  </si>
  <si>
    <t>Assiette CSG/CRDS</t>
  </si>
  <si>
    <t>Taux CSG</t>
  </si>
  <si>
    <t>Rappel : au 01/09/2010</t>
  </si>
  <si>
    <t>rappel : au 01/11/2006</t>
  </si>
  <si>
    <t>(depuis le 1/7/2010)</t>
  </si>
  <si>
    <t>Taux CRDS</t>
  </si>
  <si>
    <t>depuis le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</si>
</sst>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&quot; F&quot;;\-#,##0.000&quot; F&quot;"/>
    <numFmt numFmtId="189" formatCode="#,##0.0&quot; F&quot;;\-#,##0.0&quot; F&quot;"/>
    <numFmt numFmtId="190" formatCode="#,##0.0000&quot; F&quot;;\-#,##0.0000&quot; F&quot;"/>
    <numFmt numFmtId="191" formatCode="#,##0.00000&quot; F&quot;;\-#,##0.00000&quot; F&quot;"/>
    <numFmt numFmtId="192" formatCode="#,##0.000000&quot; F&quot;;\-#,##0.000000&quot; F&quot;"/>
    <numFmt numFmtId="193" formatCode="#,##0\ [$€-1]"/>
    <numFmt numFmtId="194" formatCode="_-* #,##0.00[$€]_-;\-* #,##0.00[$€]_-;_-* &quot;-&quot;??[$€]_-;_-@_-"/>
    <numFmt numFmtId="195" formatCode="_-* #,##0.00\ [$€-1]_-;\-* #,##0.00\ [$€-1]_-;_-* &quot;-&quot;??\ [$€-1]_-;_-@_-"/>
    <numFmt numFmtId="196" formatCode="_-* #,##0.000\ [$€-1]_-;\-* #,##0.000\ [$€-1]_-;_-* &quot;-&quot;??\ [$€-1]_-;_-@_-"/>
    <numFmt numFmtId="197" formatCode="_-* #,##0.0000\ [$€-1]_-;\-* #,##0.0000\ [$€-1]_-;_-* &quot;-&quot;??\ [$€-1]_-;_-@_-"/>
    <numFmt numFmtId="198" formatCode="_-* #,##0.00000\ [$€-1]_-;\-* #,##0.00000\ [$€-1]_-;_-* &quot;-&quot;??\ [$€-1]_-;_-@_-"/>
    <numFmt numFmtId="199" formatCode="#,##0.00\ [$€-1]"/>
    <numFmt numFmtId="200" formatCode="_-* #,##0.00\ [$F-40C]_-;\-* #,##0.00\ [$F-40C]_-;_-* &quot;-&quot;??\ [$F-40C]_-;_-@_-"/>
    <numFmt numFmtId="201" formatCode="_-* #,##0.0\ [$€-1]_-;\-* #,##0.0\ [$€-1]_-;_-* &quot;-&quot;??\ [$€-1]_-;_-@_-"/>
    <numFmt numFmtId="202" formatCode="_-* #,##0\ [$€-1]_-;\-* #,##0\ [$€-1]_-;_-* &quot;-&quot;??\ [$€-1]_-;_-@_-"/>
    <numFmt numFmtId="203" formatCode="#,##0\ [$F-40C]"/>
    <numFmt numFmtId="204" formatCode="#,##0.000\ [$€-1]"/>
    <numFmt numFmtId="205" formatCode="#,##0.0000\ [$€-1]"/>
    <numFmt numFmtId="206" formatCode="#,##0.00\ [$F-40C];\-#,##0.00\ [$F-40C]"/>
    <numFmt numFmtId="207" formatCode="&quot;Vrai&quot;;&quot;Vrai&quot;;&quot;Faux&quot;"/>
    <numFmt numFmtId="208" formatCode="&quot;Actif&quot;;&quot;Actif&quot;;&quot;Inactif&quot;"/>
    <numFmt numFmtId="209" formatCode="#,##0.00000\ [$€-1]"/>
    <numFmt numFmtId="210" formatCode="#,##0.000000\ [$€-1]"/>
    <numFmt numFmtId="211" formatCode="#,##0.0000000\ [$€-1]"/>
    <numFmt numFmtId="212" formatCode="#,##0.00&quot; F&quot;"/>
    <numFmt numFmtId="213" formatCode="_ * #,##0.00_ \ [$€-1]_ ;_ * \-#,##0.00\ \ [$€-1]_ ;_ * &quot;-&quot;??_ \ [$€-1]_ ;_ @_ "/>
    <numFmt numFmtId="214" formatCode="\ @"/>
    <numFmt numFmtId="215" formatCode="_-* #,##0.0000\ [$€-1]_-;\-* #,##0.0000\ [$€-1]_-;_-* &quot;-&quot;????\ [$€-1]_-;_-@_-"/>
    <numFmt numFmtId="216" formatCode="#,##0.0000\ [$€-1];\-#,##0.0000\ [$€-1]"/>
    <numFmt numFmtId="217" formatCode="#,##0.00\ &quot;€&quot;"/>
    <numFmt numFmtId="218" formatCode="#,##0.00\ [$€-1];\-#,##0.00\ [$€-1]"/>
    <numFmt numFmtId="219" formatCode="##&quot; ème échelon&quot;"/>
    <numFmt numFmtId="220" formatCode="##&quot;ème échelon&quot;"/>
    <numFmt numFmtId="221" formatCode="#,##0\ [$€-40C];\-#,##0\ [$€-40C]"/>
    <numFmt numFmtId="222" formatCode="#,##0\ &quot;€&quot;"/>
    <numFmt numFmtId="223" formatCode="#,##0\ &quot;€&quot;&quot;)&quot;"/>
    <numFmt numFmtId="224" formatCode="#,##0\ [$€-1];\-#,##0\ [$€-1]"/>
    <numFmt numFmtId="225" formatCode="B2dd/mm/yyyy"/>
    <numFmt numFmtId="226" formatCode="0.0%"/>
  </numFmts>
  <fonts count="95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.7"/>
      <color indexed="12"/>
      <name val="Times"/>
      <family val="0"/>
    </font>
    <font>
      <u val="single"/>
      <sz val="13.7"/>
      <color indexed="36"/>
      <name val="Times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"/>
      <family val="0"/>
    </font>
    <font>
      <sz val="18"/>
      <name val="Times New Roman"/>
      <family val="1"/>
    </font>
    <font>
      <sz val="18"/>
      <name val="Times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18"/>
      <name val="Times"/>
      <family val="0"/>
    </font>
    <font>
      <b/>
      <u val="single"/>
      <sz val="2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b/>
      <u val="single"/>
      <sz val="18"/>
      <color indexed="18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4"/>
      <color indexed="10"/>
      <name val="Arial"/>
      <family val="2"/>
    </font>
    <font>
      <i/>
      <u val="single"/>
      <sz val="14"/>
      <color indexed="10"/>
      <name val="Arial"/>
      <family val="2"/>
    </font>
    <font>
      <sz val="14"/>
      <color indexed="56"/>
      <name val="Arial"/>
      <family val="2"/>
    </font>
    <font>
      <b/>
      <sz val="14"/>
      <color indexed="10"/>
      <name val="Arial"/>
      <family val="2"/>
    </font>
    <font>
      <i/>
      <sz val="14"/>
      <color indexed="56"/>
      <name val="Arial"/>
      <family val="2"/>
    </font>
    <font>
      <b/>
      <sz val="24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2"/>
      <name val="Arial"/>
      <family val="2"/>
    </font>
    <font>
      <b/>
      <sz val="24"/>
      <color indexed="9"/>
      <name val="Arial"/>
      <family val="2"/>
    </font>
    <font>
      <sz val="14"/>
      <color indexed="12"/>
      <name val="Arial"/>
      <family val="2"/>
    </font>
    <font>
      <b/>
      <i/>
      <sz val="18"/>
      <name val="Times"/>
      <family val="0"/>
    </font>
    <font>
      <b/>
      <i/>
      <sz val="18"/>
      <color indexed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30"/>
      <name val="Arial"/>
      <family val="2"/>
    </font>
    <font>
      <b/>
      <i/>
      <sz val="14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0" fillId="27" borderId="3" applyNumberFormat="0" applyFont="0" applyAlignment="0" applyProtection="0"/>
    <xf numFmtId="0" fontId="81" fillId="28" borderId="1" applyNumberFormat="0" applyAlignment="0" applyProtection="0"/>
    <xf numFmtId="194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22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0" fontId="3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200" fontId="33" fillId="0" borderId="0" xfId="44" applyNumberFormat="1" applyFont="1" applyAlignment="1" applyProtection="1">
      <alignment vertical="center"/>
      <protection/>
    </xf>
    <xf numFmtId="0" fontId="33" fillId="0" borderId="0" xfId="0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224" fontId="23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222" fontId="23" fillId="0" borderId="20" xfId="0" applyNumberFormat="1" applyFont="1" applyFill="1" applyBorder="1" applyAlignment="1" applyProtection="1">
      <alignment horizontal="center" vertical="center"/>
      <protection/>
    </xf>
    <xf numFmtId="222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224" fontId="23" fillId="0" borderId="25" xfId="0" applyNumberFormat="1" applyFont="1" applyFill="1" applyBorder="1" applyAlignment="1" applyProtection="1">
      <alignment horizontal="center" vertical="center"/>
      <protection/>
    </xf>
    <xf numFmtId="222" fontId="23" fillId="0" borderId="25" xfId="0" applyNumberFormat="1" applyFont="1" applyFill="1" applyBorder="1" applyAlignment="1" applyProtection="1">
      <alignment horizontal="center" vertical="center"/>
      <protection/>
    </xf>
    <xf numFmtId="222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224" fontId="23" fillId="0" borderId="29" xfId="0" applyNumberFormat="1" applyFont="1" applyFill="1" applyBorder="1" applyAlignment="1" applyProtection="1">
      <alignment horizontal="center" vertical="center"/>
      <protection/>
    </xf>
    <xf numFmtId="222" fontId="23" fillId="0" borderId="29" xfId="0" applyNumberFormat="1" applyFont="1" applyFill="1" applyBorder="1" applyAlignment="1" applyProtection="1">
      <alignment horizontal="center" vertical="center"/>
      <protection/>
    </xf>
    <xf numFmtId="222" fontId="23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199" fontId="38" fillId="0" borderId="0" xfId="0" applyNumberFormat="1" applyFont="1" applyBorder="1" applyAlignment="1" applyProtection="1">
      <alignment horizontal="center" vertical="center"/>
      <protection/>
    </xf>
    <xf numFmtId="199" fontId="37" fillId="0" borderId="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224" fontId="23" fillId="0" borderId="22" xfId="0" applyNumberFormat="1" applyFont="1" applyFill="1" applyBorder="1" applyAlignment="1" applyProtection="1">
      <alignment horizontal="center" vertical="center"/>
      <protection/>
    </xf>
    <xf numFmtId="224" fontId="23" fillId="0" borderId="26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 indent="1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 indent="1"/>
      <protection/>
    </xf>
    <xf numFmtId="224" fontId="23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199" fontId="23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 indent="1"/>
      <protection/>
    </xf>
    <xf numFmtId="0" fontId="38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2" fillId="0" borderId="18" xfId="0" applyFont="1" applyBorder="1" applyAlignment="1" applyProtection="1">
      <alignment vertical="center"/>
      <protection/>
    </xf>
    <xf numFmtId="14" fontId="23" fillId="0" borderId="0" xfId="0" applyNumberFormat="1" applyFont="1" applyBorder="1" applyAlignment="1" applyProtection="1">
      <alignment horizontal="left" vertical="center"/>
      <protection/>
    </xf>
    <xf numFmtId="224" fontId="36" fillId="0" borderId="26" xfId="0" applyNumberFormat="1" applyFont="1" applyFill="1" applyBorder="1" applyAlignment="1" applyProtection="1">
      <alignment horizontal="center" vertical="center"/>
      <protection/>
    </xf>
    <xf numFmtId="224" fontId="36" fillId="0" borderId="3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224" fontId="23" fillId="0" borderId="39" xfId="0" applyNumberFormat="1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205" fontId="47" fillId="0" borderId="42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14" fontId="47" fillId="0" borderId="42" xfId="0" applyNumberFormat="1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right" vertical="center"/>
      <protection/>
    </xf>
    <xf numFmtId="205" fontId="47" fillId="0" borderId="0" xfId="0" applyNumberFormat="1" applyFont="1" applyBorder="1" applyAlignment="1" applyProtection="1">
      <alignment horizontal="center" vertical="center"/>
      <protection/>
    </xf>
    <xf numFmtId="14" fontId="47" fillId="0" borderId="0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24" fillId="0" borderId="0" xfId="46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 indent="3"/>
      <protection/>
    </xf>
    <xf numFmtId="0" fontId="56" fillId="33" borderId="0" xfId="0" applyFont="1" applyFill="1" applyAlignment="1" applyProtection="1">
      <alignment horizontal="center" vertical="center"/>
      <protection/>
    </xf>
    <xf numFmtId="205" fontId="93" fillId="33" borderId="25" xfId="0" applyNumberFormat="1" applyFont="1" applyFill="1" applyBorder="1" applyAlignment="1" applyProtection="1">
      <alignment horizontal="center" vertical="center"/>
      <protection locked="0"/>
    </xf>
    <xf numFmtId="199" fontId="94" fillId="33" borderId="25" xfId="0" applyNumberFormat="1" applyFont="1" applyFill="1" applyBorder="1" applyAlignment="1" applyProtection="1">
      <alignment horizontal="center" vertical="center"/>
      <protection locked="0"/>
    </xf>
    <xf numFmtId="10" fontId="94" fillId="33" borderId="25" xfId="53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right" vertical="center" indent="3"/>
      <protection/>
    </xf>
    <xf numFmtId="0" fontId="48" fillId="0" borderId="43" xfId="0" applyFont="1" applyBorder="1" applyAlignment="1" applyProtection="1">
      <alignment horizontal="right" vertical="center" indent="3"/>
      <protection/>
    </xf>
    <xf numFmtId="14" fontId="93" fillId="33" borderId="44" xfId="0" applyNumberFormat="1" applyFont="1" applyFill="1" applyBorder="1" applyAlignment="1" applyProtection="1">
      <alignment horizontal="center" vertical="center"/>
      <protection locked="0"/>
    </xf>
    <xf numFmtId="14" fontId="93" fillId="33" borderId="42" xfId="0" applyNumberFormat="1" applyFont="1" applyFill="1" applyBorder="1" applyAlignment="1" applyProtection="1">
      <alignment horizontal="center" vertical="center"/>
      <protection locked="0"/>
    </xf>
    <xf numFmtId="14" fontId="93" fillId="33" borderId="45" xfId="0" applyNumberFormat="1" applyFont="1" applyFill="1" applyBorder="1" applyAlignment="1" applyProtection="1">
      <alignment horizontal="center" vertical="center"/>
      <protection locked="0"/>
    </xf>
    <xf numFmtId="14" fontId="94" fillId="33" borderId="44" xfId="0" applyNumberFormat="1" applyFont="1" applyFill="1" applyBorder="1" applyAlignment="1" applyProtection="1">
      <alignment horizontal="center" vertical="center"/>
      <protection locked="0"/>
    </xf>
    <xf numFmtId="14" fontId="94" fillId="33" borderId="42" xfId="0" applyNumberFormat="1" applyFont="1" applyFill="1" applyBorder="1" applyAlignment="1" applyProtection="1">
      <alignment horizontal="center" vertical="center"/>
      <protection locked="0"/>
    </xf>
    <xf numFmtId="14" fontId="94" fillId="33" borderId="45" xfId="0" applyNumberFormat="1" applyFont="1" applyFill="1" applyBorder="1" applyAlignment="1" applyProtection="1">
      <alignment horizontal="center" vertical="center"/>
      <protection locked="0"/>
    </xf>
    <xf numFmtId="0" fontId="24" fillId="0" borderId="44" xfId="46" applyFont="1" applyBorder="1" applyAlignment="1" applyProtection="1">
      <alignment horizontal="center" vertical="center"/>
      <protection/>
    </xf>
    <xf numFmtId="0" fontId="24" fillId="0" borderId="42" xfId="46" applyFont="1" applyBorder="1" applyAlignment="1" applyProtection="1">
      <alignment horizontal="center" vertical="center"/>
      <protection/>
    </xf>
    <xf numFmtId="0" fontId="24" fillId="0" borderId="45" xfId="46" applyFont="1" applyBorder="1" applyAlignment="1" applyProtection="1">
      <alignment horizontal="center" vertical="center"/>
      <protection/>
    </xf>
    <xf numFmtId="0" fontId="49" fillId="34" borderId="46" xfId="46" applyFont="1" applyFill="1" applyBorder="1" applyAlignment="1" applyProtection="1">
      <alignment horizontal="center" vertical="center"/>
      <protection/>
    </xf>
    <xf numFmtId="0" fontId="49" fillId="34" borderId="47" xfId="46" applyFont="1" applyFill="1" applyBorder="1" applyAlignment="1" applyProtection="1">
      <alignment horizontal="center" vertical="center"/>
      <protection/>
    </xf>
    <xf numFmtId="0" fontId="49" fillId="34" borderId="48" xfId="46" applyFont="1" applyFill="1" applyBorder="1" applyAlignment="1" applyProtection="1">
      <alignment horizontal="center" vertical="center"/>
      <protection/>
    </xf>
    <xf numFmtId="0" fontId="52" fillId="35" borderId="44" xfId="46" applyFont="1" applyFill="1" applyBorder="1" applyAlignment="1" applyProtection="1">
      <alignment horizontal="center" vertical="center"/>
      <protection/>
    </xf>
    <xf numFmtId="0" fontId="52" fillId="35" borderId="42" xfId="46" applyFont="1" applyFill="1" applyBorder="1" applyAlignment="1" applyProtection="1">
      <alignment horizontal="center" vertical="center"/>
      <protection/>
    </xf>
    <xf numFmtId="0" fontId="52" fillId="35" borderId="45" xfId="46" applyFont="1" applyFill="1" applyBorder="1" applyAlignment="1" applyProtection="1">
      <alignment horizontal="center" vertical="center"/>
      <protection/>
    </xf>
    <xf numFmtId="0" fontId="36" fillId="0" borderId="49" xfId="0" applyFont="1" applyBorder="1" applyAlignment="1" applyProtection="1">
      <alignment horizontal="center"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0" fontId="23" fillId="34" borderId="50" xfId="0" applyFont="1" applyFill="1" applyBorder="1" applyAlignment="1" applyProtection="1">
      <alignment horizontal="center" vertical="center"/>
      <protection/>
    </xf>
    <xf numFmtId="0" fontId="23" fillId="34" borderId="51" xfId="0" applyFont="1" applyFill="1" applyBorder="1" applyAlignment="1" applyProtection="1">
      <alignment horizontal="center" vertical="center"/>
      <protection/>
    </xf>
    <xf numFmtId="0" fontId="23" fillId="34" borderId="52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8" fillId="0" borderId="34" xfId="0" applyFont="1" applyFill="1" applyBorder="1" applyAlignment="1" applyProtection="1">
      <alignment horizontal="center" vertical="center" wrapText="1"/>
      <protection/>
    </xf>
    <xf numFmtId="14" fontId="28" fillId="0" borderId="33" xfId="0" applyNumberFormat="1" applyFont="1" applyFill="1" applyBorder="1" applyAlignment="1" applyProtection="1">
      <alignment horizontal="center" vertical="center" wrapText="1"/>
      <protection/>
    </xf>
    <xf numFmtId="14" fontId="28" fillId="0" borderId="53" xfId="0" applyNumberFormat="1" applyFont="1" applyFill="1" applyBorder="1" applyAlignment="1" applyProtection="1">
      <alignment horizontal="center" vertical="center" wrapText="1"/>
      <protection/>
    </xf>
    <xf numFmtId="0" fontId="41" fillId="0" borderId="32" xfId="0" applyFont="1" applyBorder="1" applyAlignment="1" applyProtection="1">
      <alignment horizontal="left" vertical="center" wrapText="1" indent="1"/>
      <protection/>
    </xf>
    <xf numFmtId="0" fontId="41" fillId="0" borderId="0" xfId="0" applyFont="1" applyBorder="1" applyAlignment="1" applyProtection="1">
      <alignment horizontal="left" vertical="center" wrapText="1" indent="1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0" borderId="55" xfId="0" applyFont="1" applyBorder="1" applyAlignment="1" applyProtection="1">
      <alignment horizontal="center" vertical="center"/>
      <protection/>
    </xf>
    <xf numFmtId="0" fontId="36" fillId="0" borderId="35" xfId="0" applyFont="1" applyBorder="1" applyAlignment="1" applyProtection="1">
      <alignment horizontal="center" vertical="center"/>
      <protection/>
    </xf>
    <xf numFmtId="0" fontId="36" fillId="0" borderId="38" xfId="0" applyFont="1" applyBorder="1" applyAlignment="1" applyProtection="1">
      <alignment horizontal="center" vertical="center"/>
      <protection/>
    </xf>
    <xf numFmtId="0" fontId="36" fillId="0" borderId="56" xfId="0" applyFont="1" applyBorder="1" applyAlignment="1" applyProtection="1">
      <alignment horizontal="center" vertical="center"/>
      <protection/>
    </xf>
    <xf numFmtId="0" fontId="36" fillId="0" borderId="57" xfId="0" applyFont="1" applyBorder="1" applyAlignment="1" applyProtection="1">
      <alignment horizontal="center" vertical="center"/>
      <protection/>
    </xf>
    <xf numFmtId="0" fontId="36" fillId="0" borderId="58" xfId="0" applyFont="1" applyBorder="1" applyAlignment="1" applyProtection="1">
      <alignment horizontal="center" vertical="center"/>
      <protection/>
    </xf>
    <xf numFmtId="0" fontId="36" fillId="0" borderId="59" xfId="0" applyFont="1" applyBorder="1" applyAlignment="1" applyProtection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205" fontId="32" fillId="0" borderId="60" xfId="0" applyNumberFormat="1" applyFont="1" applyFill="1" applyBorder="1" applyAlignment="1" applyProtection="1">
      <alignment horizontal="center" vertical="center"/>
      <protection/>
    </xf>
    <xf numFmtId="205" fontId="32" fillId="0" borderId="61" xfId="0" applyNumberFormat="1" applyFont="1" applyFill="1" applyBorder="1" applyAlignment="1" applyProtection="1">
      <alignment horizontal="center" vertical="center"/>
      <protection/>
    </xf>
    <xf numFmtId="199" fontId="23" fillId="0" borderId="0" xfId="0" applyNumberFormat="1" applyFont="1" applyFill="1" applyAlignment="1" applyProtection="1">
      <alignment horizontal="center" vertical="center"/>
      <protection/>
    </xf>
    <xf numFmtId="0" fontId="24" fillId="36" borderId="62" xfId="0" applyFont="1" applyFill="1" applyBorder="1" applyAlignment="1" applyProtection="1">
      <alignment horizontal="center" vertical="center" wrapText="1"/>
      <protection/>
    </xf>
    <xf numFmtId="0" fontId="24" fillId="36" borderId="31" xfId="0" applyFont="1" applyFill="1" applyBorder="1" applyAlignment="1" applyProtection="1">
      <alignment horizontal="center" vertical="center" wrapText="1"/>
      <protection/>
    </xf>
    <xf numFmtId="0" fontId="24" fillId="36" borderId="63" xfId="0" applyFont="1" applyFill="1" applyBorder="1" applyAlignment="1" applyProtection="1">
      <alignment horizontal="center" vertical="center" wrapText="1"/>
      <protection/>
    </xf>
    <xf numFmtId="0" fontId="24" fillId="36" borderId="3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/>
      <protection/>
    </xf>
    <xf numFmtId="0" fontId="23" fillId="37" borderId="50" xfId="0" applyFont="1" applyFill="1" applyBorder="1" applyAlignment="1" applyProtection="1">
      <alignment horizontal="center" vertical="center"/>
      <protection/>
    </xf>
    <xf numFmtId="0" fontId="23" fillId="37" borderId="51" xfId="0" applyFont="1" applyFill="1" applyBorder="1" applyAlignment="1" applyProtection="1">
      <alignment horizontal="center" vertical="center"/>
      <protection/>
    </xf>
    <xf numFmtId="0" fontId="23" fillId="37" borderId="52" xfId="0" applyFont="1" applyFill="1" applyBorder="1" applyAlignment="1" applyProtection="1">
      <alignment horizontal="center" vertical="center"/>
      <protection/>
    </xf>
    <xf numFmtId="0" fontId="23" fillId="34" borderId="31" xfId="0" applyFont="1" applyFill="1" applyBorder="1" applyAlignment="1" applyProtection="1">
      <alignment horizontal="center" vertical="center" wrapText="1"/>
      <protection/>
    </xf>
    <xf numFmtId="0" fontId="23" fillId="34" borderId="34" xfId="0" applyFont="1" applyFill="1" applyBorder="1" applyAlignment="1" applyProtection="1">
      <alignment horizontal="center" vertical="center" wrapText="1"/>
      <protection/>
    </xf>
    <xf numFmtId="0" fontId="23" fillId="34" borderId="33" xfId="0" applyFont="1" applyFill="1" applyBorder="1" applyAlignment="1" applyProtection="1">
      <alignment horizontal="center" vertical="center" wrapText="1"/>
      <protection/>
    </xf>
    <xf numFmtId="0" fontId="23" fillId="34" borderId="53" xfId="0" applyFont="1" applyFill="1" applyBorder="1" applyAlignment="1" applyProtection="1">
      <alignment horizontal="center" vertical="center" wrapText="1"/>
      <protection/>
    </xf>
    <xf numFmtId="199" fontId="23" fillId="0" borderId="50" xfId="0" applyNumberFormat="1" applyFont="1" applyBorder="1" applyAlignment="1" applyProtection="1">
      <alignment horizontal="center" vertical="center"/>
      <protection/>
    </xf>
    <xf numFmtId="199" fontId="23" fillId="0" borderId="52" xfId="0" applyNumberFormat="1" applyFont="1" applyBorder="1" applyAlignment="1" applyProtection="1">
      <alignment horizontal="center" vertical="center"/>
      <protection/>
    </xf>
    <xf numFmtId="0" fontId="31" fillId="0" borderId="64" xfId="0" applyFont="1" applyFill="1" applyBorder="1" applyAlignment="1">
      <alignment horizontal="left" vertical="center" wrapText="1" indent="1"/>
    </xf>
    <xf numFmtId="0" fontId="31" fillId="0" borderId="65" xfId="0" applyFont="1" applyFill="1" applyBorder="1" applyAlignment="1">
      <alignment horizontal="left" vertical="center" wrapText="1" indent="1"/>
    </xf>
    <xf numFmtId="0" fontId="31" fillId="0" borderId="66" xfId="0" applyFont="1" applyFill="1" applyBorder="1" applyAlignment="1">
      <alignment horizontal="left" vertical="center" wrapText="1" indent="1"/>
    </xf>
    <xf numFmtId="0" fontId="31" fillId="0" borderId="0" xfId="0" applyFont="1" applyFill="1" applyBorder="1" applyAlignment="1">
      <alignment horizontal="left" vertical="center" wrapText="1" indent="1"/>
    </xf>
    <xf numFmtId="0" fontId="31" fillId="0" borderId="43" xfId="0" applyFont="1" applyFill="1" applyBorder="1" applyAlignment="1">
      <alignment horizontal="left" vertical="center" wrapText="1" indent="1"/>
    </xf>
    <xf numFmtId="0" fontId="38" fillId="0" borderId="31" xfId="0" applyFont="1" applyBorder="1" applyAlignment="1" applyProtection="1">
      <alignment horizontal="center" vertical="center" wrapText="1"/>
      <protection/>
    </xf>
    <xf numFmtId="0" fontId="36" fillId="0" borderId="67" xfId="0" applyFont="1" applyBorder="1" applyAlignment="1" applyProtection="1">
      <alignment horizontal="center"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0" fontId="36" fillId="0" borderId="58" xfId="0" applyFont="1" applyBorder="1" applyAlignment="1" applyProtection="1">
      <alignment horizontal="center" vertical="center" wrapText="1"/>
      <protection/>
    </xf>
    <xf numFmtId="0" fontId="36" fillId="0" borderId="59" xfId="0" applyFont="1" applyBorder="1" applyAlignment="1" applyProtection="1">
      <alignment horizontal="center" vertical="center" wrapText="1"/>
      <protection/>
    </xf>
    <xf numFmtId="14" fontId="36" fillId="0" borderId="0" xfId="0" applyNumberFormat="1" applyFont="1" applyBorder="1" applyAlignment="1" applyProtection="1">
      <alignment horizontal="left" vertical="center"/>
      <protection/>
    </xf>
    <xf numFmtId="14" fontId="36" fillId="0" borderId="68" xfId="0" applyNumberFormat="1" applyFont="1" applyBorder="1" applyAlignment="1" applyProtection="1">
      <alignment horizontal="left" vertical="center"/>
      <protection/>
    </xf>
    <xf numFmtId="199" fontId="23" fillId="0" borderId="51" xfId="0" applyNumberFormat="1" applyFont="1" applyBorder="1" applyAlignment="1" applyProtection="1">
      <alignment horizontal="center" vertical="center"/>
      <protection/>
    </xf>
    <xf numFmtId="0" fontId="36" fillId="0" borderId="69" xfId="0" applyFont="1" applyBorder="1" applyAlignment="1" applyProtection="1">
      <alignment horizontal="center" vertical="center"/>
      <protection/>
    </xf>
    <xf numFmtId="0" fontId="23" fillId="34" borderId="62" xfId="0" applyFont="1" applyFill="1" applyBorder="1" applyAlignment="1" applyProtection="1">
      <alignment horizontal="center" vertical="center" wrapText="1"/>
      <protection/>
    </xf>
    <xf numFmtId="0" fontId="23" fillId="34" borderId="63" xfId="0" applyFont="1" applyFill="1" applyBorder="1" applyAlignment="1" applyProtection="1">
      <alignment horizontal="center" vertical="center" wrapText="1"/>
      <protection/>
    </xf>
    <xf numFmtId="0" fontId="36" fillId="0" borderId="70" xfId="0" applyFont="1" applyBorder="1" applyAlignment="1" applyProtection="1">
      <alignment horizontal="center" vertical="center"/>
      <protection/>
    </xf>
    <xf numFmtId="0" fontId="24" fillId="38" borderId="62" xfId="0" applyFont="1" applyFill="1" applyBorder="1" applyAlignment="1" applyProtection="1">
      <alignment horizontal="center" vertical="center" wrapText="1"/>
      <protection/>
    </xf>
    <xf numFmtId="0" fontId="24" fillId="38" borderId="31" xfId="0" applyFont="1" applyFill="1" applyBorder="1" applyAlignment="1" applyProtection="1">
      <alignment horizontal="center" vertical="center" wrapText="1"/>
      <protection/>
    </xf>
    <xf numFmtId="0" fontId="24" fillId="38" borderId="34" xfId="0" applyFont="1" applyFill="1" applyBorder="1" applyAlignment="1" applyProtection="1">
      <alignment horizontal="center" vertical="center" wrapText="1"/>
      <protection/>
    </xf>
    <xf numFmtId="0" fontId="24" fillId="38" borderId="63" xfId="0" applyFont="1" applyFill="1" applyBorder="1" applyAlignment="1" applyProtection="1">
      <alignment horizontal="center" vertical="center" wrapText="1"/>
      <protection/>
    </xf>
    <xf numFmtId="0" fontId="24" fillId="38" borderId="33" xfId="0" applyFont="1" applyFill="1" applyBorder="1" applyAlignment="1" applyProtection="1">
      <alignment horizontal="center" vertical="center" wrapText="1"/>
      <protection/>
    </xf>
    <xf numFmtId="0" fontId="24" fillId="38" borderId="5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28" fillId="37" borderId="71" xfId="0" applyFont="1" applyFill="1" applyBorder="1" applyAlignment="1" applyProtection="1">
      <alignment horizontal="center" vertical="center" wrapText="1"/>
      <protection/>
    </xf>
    <xf numFmtId="0" fontId="28" fillId="37" borderId="72" xfId="0" applyFont="1" applyFill="1" applyBorder="1" applyAlignment="1" applyProtection="1">
      <alignment horizontal="center" vertical="center" wrapText="1"/>
      <protection/>
    </xf>
    <xf numFmtId="14" fontId="28" fillId="37" borderId="73" xfId="0" applyNumberFormat="1" applyFont="1" applyFill="1" applyBorder="1" applyAlignment="1" applyProtection="1">
      <alignment horizontal="center" vertical="center" wrapText="1"/>
      <protection/>
    </xf>
    <xf numFmtId="14" fontId="28" fillId="37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6" fillId="0" borderId="40" xfId="0" applyFont="1" applyBorder="1" applyAlignment="1" applyProtection="1">
      <alignment horizontal="center" vertical="center"/>
      <protection/>
    </xf>
    <xf numFmtId="0" fontId="36" fillId="0" borderId="77" xfId="0" applyFont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228600</xdr:colOff>
      <xdr:row>3</xdr:row>
      <xdr:rowOff>47625</xdr:rowOff>
    </xdr:from>
    <xdr:to>
      <xdr:col>12</xdr:col>
      <xdr:colOff>152400</xdr:colOff>
      <xdr:row>7</xdr:row>
      <xdr:rowOff>238125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9772650" y="466725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</xdr:row>
      <xdr:rowOff>38100</xdr:rowOff>
    </xdr:from>
    <xdr:to>
      <xdr:col>9</xdr:col>
      <xdr:colOff>438150</xdr:colOff>
      <xdr:row>7</xdr:row>
      <xdr:rowOff>114300</xdr:rowOff>
    </xdr:to>
    <xdr:pic>
      <xdr:nvPicPr>
        <xdr:cNvPr id="2" name="Picture 2" descr="U coul ombr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984509">
          <a:off x="7800975" y="790575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10</xdr:row>
      <xdr:rowOff>247650</xdr:rowOff>
    </xdr:from>
    <xdr:to>
      <xdr:col>10</xdr:col>
      <xdr:colOff>133350</xdr:colOff>
      <xdr:row>17</xdr:row>
      <xdr:rowOff>66675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991475" y="2819400"/>
          <a:ext cx="1619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9</xdr:row>
      <xdr:rowOff>38100</xdr:rowOff>
    </xdr:from>
    <xdr:to>
      <xdr:col>9</xdr:col>
      <xdr:colOff>800100</xdr:colOff>
      <xdr:row>16</xdr:row>
      <xdr:rowOff>9525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18121">
          <a:off x="7620000" y="2381250"/>
          <a:ext cx="16002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1162050</xdr:colOff>
      <xdr:row>9</xdr:row>
      <xdr:rowOff>228600</xdr:rowOff>
    </xdr:from>
    <xdr:to>
      <xdr:col>10</xdr:col>
      <xdr:colOff>381000</xdr:colOff>
      <xdr:row>16</xdr:row>
      <xdr:rowOff>114300</xdr:rowOff>
    </xdr:to>
    <xdr:pic>
      <xdr:nvPicPr>
        <xdr:cNvPr id="1" name="Picture 2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8239125" y="2571750"/>
          <a:ext cx="1619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10</xdr:row>
      <xdr:rowOff>200025</xdr:rowOff>
    </xdr:from>
    <xdr:to>
      <xdr:col>9</xdr:col>
      <xdr:colOff>238125</xdr:colOff>
      <xdr:row>17</xdr:row>
      <xdr:rowOff>19050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6915150" y="2771775"/>
          <a:ext cx="1600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10</xdr:row>
      <xdr:rowOff>247650</xdr:rowOff>
    </xdr:from>
    <xdr:to>
      <xdr:col>9</xdr:col>
      <xdr:colOff>1066800</xdr:colOff>
      <xdr:row>17</xdr:row>
      <xdr:rowOff>66675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743825" y="2819400"/>
          <a:ext cx="1600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180975</xdr:rowOff>
    </xdr:from>
    <xdr:to>
      <xdr:col>9</xdr:col>
      <xdr:colOff>485775</xdr:colOff>
      <xdr:row>16</xdr:row>
      <xdr:rowOff>0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162800" y="252412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171450</xdr:rowOff>
    </xdr:from>
    <xdr:to>
      <xdr:col>7</xdr:col>
      <xdr:colOff>1390650</xdr:colOff>
      <xdr:row>15</xdr:row>
      <xdr:rowOff>66675</xdr:rowOff>
    </xdr:to>
    <xdr:pic>
      <xdr:nvPicPr>
        <xdr:cNvPr id="1" name="Picture 1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9429750" y="3429000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27</xdr:row>
      <xdr:rowOff>171450</xdr:rowOff>
    </xdr:from>
    <xdr:to>
      <xdr:col>7</xdr:col>
      <xdr:colOff>1390650</xdr:colOff>
      <xdr:row>31</xdr:row>
      <xdr:rowOff>66675</xdr:rowOff>
    </xdr:to>
    <xdr:pic>
      <xdr:nvPicPr>
        <xdr:cNvPr id="2" name="Picture 1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9429750" y="8181975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showRowColHeaders="0" tabSelected="1" zoomScale="120" zoomScaleNormal="120" zoomScalePageLayoutView="0" workbookViewId="0" topLeftCell="A1">
      <selection activeCell="F2" sqref="F2"/>
    </sheetView>
  </sheetViews>
  <sheetFormatPr defaultColWidth="11.19921875" defaultRowHeight="15"/>
  <cols>
    <col min="1" max="1" width="4.3984375" style="99" customWidth="1"/>
    <col min="2" max="2" width="11.8984375" style="99" bestFit="1" customWidth="1"/>
    <col min="3" max="3" width="11.3984375" style="99" bestFit="1" customWidth="1"/>
    <col min="4" max="4" width="14.5" style="99" bestFit="1" customWidth="1"/>
    <col min="5" max="5" width="2.09765625" style="99" customWidth="1"/>
    <col min="6" max="6" width="13.8984375" style="99" customWidth="1"/>
    <col min="7" max="8" width="11" style="99" customWidth="1"/>
    <col min="9" max="9" width="4.59765625" style="99" customWidth="1"/>
    <col min="10" max="10" width="11" style="99" customWidth="1"/>
    <col min="11" max="11" width="4.3984375" style="99" customWidth="1"/>
    <col min="12" max="12" width="11" style="99" customWidth="1"/>
    <col min="13" max="13" width="4.3984375" style="99" customWidth="1"/>
    <col min="14" max="16384" width="11" style="99" customWidth="1"/>
  </cols>
  <sheetData>
    <row r="1" ht="7.5" customHeight="1"/>
    <row r="2" spans="2:11" s="100" customFormat="1" ht="18">
      <c r="B2" s="132" t="s">
        <v>21</v>
      </c>
      <c r="D2" s="102" t="s">
        <v>22</v>
      </c>
      <c r="F2" s="133">
        <v>55.5635</v>
      </c>
      <c r="G2" s="103" t="s">
        <v>19</v>
      </c>
      <c r="H2" s="139">
        <v>39478</v>
      </c>
      <c r="I2" s="140"/>
      <c r="J2" s="141"/>
      <c r="K2" s="136" t="s">
        <v>57</v>
      </c>
    </row>
    <row r="3" spans="2:10" s="100" customFormat="1" ht="7.5" customHeight="1">
      <c r="B3" s="101"/>
      <c r="D3" s="104"/>
      <c r="E3" s="105"/>
      <c r="F3" s="106"/>
      <c r="G3" s="107"/>
      <c r="H3" s="108"/>
      <c r="I3" s="108"/>
      <c r="J3" s="108"/>
    </row>
    <row r="4" spans="1:10" ht="18.75" customHeight="1">
      <c r="A4" s="109"/>
      <c r="B4" s="110" t="s">
        <v>6</v>
      </c>
      <c r="C4" s="134">
        <v>192.8</v>
      </c>
      <c r="D4" s="110" t="s">
        <v>5</v>
      </c>
      <c r="E4" s="109"/>
      <c r="F4" s="134">
        <v>241</v>
      </c>
      <c r="G4" s="111" t="s">
        <v>7</v>
      </c>
      <c r="H4" s="142">
        <v>39082</v>
      </c>
      <c r="I4" s="143"/>
      <c r="J4" s="144"/>
    </row>
    <row r="5" spans="3:10" ht="7.5" customHeight="1">
      <c r="C5" s="112"/>
      <c r="D5" s="113"/>
      <c r="E5" s="100"/>
      <c r="F5" s="114"/>
      <c r="G5" s="100"/>
      <c r="H5" s="115"/>
      <c r="I5" s="115"/>
      <c r="J5" s="115"/>
    </row>
    <row r="6" spans="7:9" ht="18">
      <c r="G6" s="115"/>
      <c r="H6" s="115"/>
      <c r="I6" s="115"/>
    </row>
    <row r="7" spans="4:10" ht="18.75">
      <c r="D7" s="110" t="s">
        <v>50</v>
      </c>
      <c r="E7" s="114"/>
      <c r="F7" s="135">
        <v>0.0839</v>
      </c>
      <c r="G7" s="100"/>
      <c r="H7" s="115"/>
      <c r="I7" s="115"/>
      <c r="J7" s="115"/>
    </row>
    <row r="8" spans="1:16" s="116" customFormat="1" ht="21" customHeight="1">
      <c r="A8" s="99"/>
      <c r="B8" s="99"/>
      <c r="C8" s="112"/>
      <c r="D8" s="113"/>
      <c r="E8" s="100"/>
      <c r="F8" s="114"/>
      <c r="G8" s="100"/>
      <c r="H8" s="115"/>
      <c r="I8" s="115"/>
      <c r="J8" s="115"/>
      <c r="K8" s="99"/>
      <c r="L8" s="99"/>
      <c r="M8" s="99"/>
      <c r="N8" s="99"/>
      <c r="O8" s="99"/>
      <c r="P8" s="99"/>
    </row>
    <row r="9" spans="2:4" ht="15.75">
      <c r="B9" s="117" t="s">
        <v>25</v>
      </c>
      <c r="D9" s="109"/>
    </row>
    <row r="10" spans="1:16" s="118" customFormat="1" ht="30" customHeight="1">
      <c r="A10" s="99"/>
      <c r="B10" s="99"/>
      <c r="C10" s="99"/>
      <c r="D10" s="10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39.75" customHeight="1">
      <c r="A11" s="116"/>
      <c r="B11" s="145" t="s">
        <v>23</v>
      </c>
      <c r="C11" s="146"/>
      <c r="D11" s="146"/>
      <c r="E11" s="146"/>
      <c r="F11" s="146"/>
      <c r="G11" s="146"/>
      <c r="H11" s="147"/>
      <c r="I11" s="119"/>
      <c r="J11" s="145" t="s">
        <v>30</v>
      </c>
      <c r="K11" s="146"/>
      <c r="L11" s="147"/>
      <c r="M11" s="116"/>
      <c r="N11" s="116"/>
      <c r="O11" s="116"/>
      <c r="P11" s="116"/>
    </row>
    <row r="12" spans="1:16" s="122" customFormat="1" ht="15" customHeight="1">
      <c r="A12" s="99"/>
      <c r="B12" s="120"/>
      <c r="C12" s="120"/>
      <c r="D12" s="121"/>
      <c r="E12" s="121"/>
      <c r="F12" s="121"/>
      <c r="G12" s="121"/>
      <c r="H12" s="121"/>
      <c r="I12" s="121"/>
      <c r="J12" s="99"/>
      <c r="K12" s="99"/>
      <c r="L12" s="99"/>
      <c r="M12" s="99"/>
      <c r="N12" s="99"/>
      <c r="O12" s="99"/>
      <c r="P12" s="99"/>
    </row>
    <row r="13" spans="1:16" ht="39.75" customHeight="1">
      <c r="A13" s="118"/>
      <c r="B13" s="151" t="s">
        <v>8</v>
      </c>
      <c r="C13" s="152"/>
      <c r="D13" s="152"/>
      <c r="E13" s="152"/>
      <c r="F13" s="152"/>
      <c r="G13" s="152"/>
      <c r="H13" s="153"/>
      <c r="I13" s="119"/>
      <c r="J13" s="151" t="s">
        <v>30</v>
      </c>
      <c r="K13" s="152"/>
      <c r="L13" s="152"/>
      <c r="M13" s="118"/>
      <c r="N13" s="118"/>
      <c r="O13" s="118"/>
      <c r="P13" s="118"/>
    </row>
    <row r="14" spans="2:9" ht="15" customHeight="1" thickBot="1">
      <c r="B14" s="120"/>
      <c r="C14" s="123"/>
      <c r="D14" s="121"/>
      <c r="E14" s="121"/>
      <c r="F14" s="121"/>
      <c r="G14" s="121"/>
      <c r="H14" s="121"/>
      <c r="I14" s="121"/>
    </row>
    <row r="15" spans="1:16" ht="39.75" customHeight="1" thickBot="1">
      <c r="A15" s="122"/>
      <c r="B15" s="148" t="s">
        <v>24</v>
      </c>
      <c r="C15" s="149"/>
      <c r="D15" s="149"/>
      <c r="E15" s="149"/>
      <c r="F15" s="149"/>
      <c r="G15" s="149"/>
      <c r="H15" s="150"/>
      <c r="I15" s="124"/>
      <c r="J15" s="148" t="s">
        <v>30</v>
      </c>
      <c r="K15" s="149"/>
      <c r="L15" s="150"/>
      <c r="M15" s="122"/>
      <c r="N15" s="122"/>
      <c r="O15" s="122"/>
      <c r="P15" s="122"/>
    </row>
    <row r="16" ht="30" customHeight="1"/>
    <row r="17" spans="3:6" ht="18.75" customHeight="1">
      <c r="C17" s="137" t="s">
        <v>53</v>
      </c>
      <c r="D17" s="137"/>
      <c r="E17" s="138"/>
      <c r="F17" s="135">
        <v>0.9825</v>
      </c>
    </row>
    <row r="18" spans="3:5" ht="18.75" customHeight="1">
      <c r="C18" s="131"/>
      <c r="D18" s="131"/>
      <c r="E18" s="131"/>
    </row>
    <row r="19" spans="3:6" ht="18.75" customHeight="1">
      <c r="C19" s="137" t="s">
        <v>54</v>
      </c>
      <c r="D19" s="137"/>
      <c r="E19" s="138"/>
      <c r="F19" s="135">
        <v>0.075</v>
      </c>
    </row>
    <row r="20" spans="3:5" ht="18.75" customHeight="1">
      <c r="C20" s="131"/>
      <c r="D20" s="131"/>
      <c r="E20" s="131"/>
    </row>
    <row r="21" spans="3:6" ht="18.75" customHeight="1">
      <c r="C21" s="137" t="s">
        <v>58</v>
      </c>
      <c r="D21" s="137"/>
      <c r="E21" s="138"/>
      <c r="F21" s="135">
        <v>0.005</v>
      </c>
    </row>
    <row r="22" ht="30">
      <c r="D22" s="125"/>
    </row>
  </sheetData>
  <sheetProtection sheet="1" selectLockedCells="1"/>
  <mergeCells count="11">
    <mergeCell ref="J13:L13"/>
    <mergeCell ref="C17:E17"/>
    <mergeCell ref="C19:E19"/>
    <mergeCell ref="C21:E21"/>
    <mergeCell ref="H2:J2"/>
    <mergeCell ref="H4:J4"/>
    <mergeCell ref="B11:H11"/>
    <mergeCell ref="B15:H15"/>
    <mergeCell ref="J15:L15"/>
    <mergeCell ref="J11:L11"/>
    <mergeCell ref="B13:H13"/>
  </mergeCells>
  <hyperlinks>
    <hyperlink ref="B11:H11" location="'Zone 1 _ 3_100 '!A1" display="Zone 1 : indemnité de résidence à 3%"/>
    <hyperlink ref="J11:L11" location="'Zone 1 _ mi_temps'!A1" display="si mi-temps"/>
    <hyperlink ref="J13:L13" location="'Zone 2 _ mi_temps'!A1" display="si mi-temps"/>
    <hyperlink ref="B13:H13" location="'Zone 2 _ 1_100'!A1" display="Zone 2 : indemnité de résidence à 1%"/>
    <hyperlink ref="J15:L15" location="'Zone 3 _ mi_temps'!A1" display="si mi-temps"/>
    <hyperlink ref="B15:H15" location="'Zone 3 _ 0_100'!A1" display="Zone 3 : indemnité de résidence à 0%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50" verticalDpi="15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showGridLines="0" showRowColHeaders="0" zoomScaleSheetLayoutView="100" zoomScalePageLayoutView="0" workbookViewId="0" topLeftCell="A1">
      <selection activeCell="N44" sqref="N44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1" s="24" customFormat="1" ht="36" customHeight="1" thickTop="1">
      <c r="B4" s="177" t="s">
        <v>43</v>
      </c>
      <c r="C4" s="178"/>
      <c r="D4" s="178"/>
      <c r="E4" s="178"/>
      <c r="F4" s="178"/>
      <c r="G4" s="178"/>
      <c r="H4" s="178"/>
      <c r="I4" s="178"/>
      <c r="J4" s="159" t="s">
        <v>59</v>
      </c>
      <c r="K4" s="160"/>
    </row>
    <row r="5" spans="2:11" s="24" customFormat="1" ht="36" customHeight="1" thickBot="1">
      <c r="B5" s="179"/>
      <c r="C5" s="180"/>
      <c r="D5" s="180"/>
      <c r="E5" s="180"/>
      <c r="F5" s="180"/>
      <c r="G5" s="180"/>
      <c r="H5" s="180"/>
      <c r="I5" s="180"/>
      <c r="J5" s="161">
        <f>Intro!H2</f>
        <v>39478</v>
      </c>
      <c r="K5" s="162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2" s="28" customFormat="1" ht="18" customHeight="1">
      <c r="B7" s="27"/>
      <c r="D7" s="29" t="s">
        <v>4</v>
      </c>
      <c r="E7" s="174">
        <f>Intro!F2</f>
        <v>55.5635</v>
      </c>
      <c r="F7" s="175"/>
      <c r="G7" s="30"/>
      <c r="H7" s="181" t="s">
        <v>32</v>
      </c>
      <c r="I7" s="181"/>
      <c r="J7" s="181"/>
      <c r="K7" s="181"/>
      <c r="L7" s="75"/>
    </row>
    <row r="8" spans="2:11" s="28" customFormat="1" ht="18" customHeight="1">
      <c r="B8" s="27"/>
      <c r="D8" s="29" t="s">
        <v>2</v>
      </c>
      <c r="E8" s="176">
        <f>ROUNDDOWN(E7/12,2)</f>
        <v>4.63</v>
      </c>
      <c r="F8" s="176"/>
      <c r="G8" s="30"/>
      <c r="H8" s="181"/>
      <c r="I8" s="181"/>
      <c r="J8" s="181"/>
      <c r="K8" s="181"/>
    </row>
    <row r="9" spans="2:12" s="28" customFormat="1" ht="18" customHeight="1">
      <c r="B9" s="27"/>
      <c r="D9" s="29" t="s">
        <v>3</v>
      </c>
      <c r="E9" s="176">
        <f>ROUNDDOWN($E$7/12,2)+ROUNDDOWN($E$7/12,2)*0.03-ROUNDDOWN($E$7/12,2)*Intro!F7-(ROUNDDOWN($E$7/12,2)+ROUNDDOWN($E$7/12,2)*0.03)*(Intro!$F$17)*(Intro!$F$19)-(ROUNDDOWN($E$7/12,2)+ROUNDDOWN($E$7/12,2)*0.03)*(Intro!$F$17)*(Intro!$F$21)-(ROUNDDOWN($E$7/12,2)+ROUNDDOWN($E$7/12,2)*0.03-ROUNDDOWN($E$7/12,2)*Intro!$F$7-ROUNDDOWN($E$7/12,2)*0.03*0.05)*0.01</f>
        <v>3.9618724799999994</v>
      </c>
      <c r="F9" s="176"/>
      <c r="G9" s="30"/>
      <c r="H9" s="181"/>
      <c r="I9" s="181"/>
      <c r="J9" s="181"/>
      <c r="K9" s="181"/>
      <c r="L9" s="75"/>
    </row>
    <row r="10" spans="2:8" s="28" customFormat="1" ht="18" customHeight="1">
      <c r="B10" s="27"/>
      <c r="D10" s="77" t="s">
        <v>20</v>
      </c>
      <c r="E10" s="76"/>
      <c r="F10" s="76"/>
      <c r="G10" s="30"/>
      <c r="H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56" t="s">
        <v>17</v>
      </c>
      <c r="D12" s="158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154" t="s">
        <v>13</v>
      </c>
      <c r="C13" s="167" t="s">
        <v>14</v>
      </c>
      <c r="D13" s="171" t="s">
        <v>15</v>
      </c>
      <c r="E13" s="28"/>
      <c r="F13" s="28"/>
      <c r="G13" s="28"/>
      <c r="H13" s="62"/>
      <c r="I13" s="28"/>
      <c r="J13" s="28"/>
      <c r="K13" s="79"/>
      <c r="L13" s="79"/>
    </row>
    <row r="14" spans="1:12" s="34" customFormat="1" ht="19.5" customHeight="1" thickBot="1">
      <c r="A14" s="63"/>
      <c r="B14" s="155"/>
      <c r="C14" s="168"/>
      <c r="D14" s="172"/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91" t="s">
        <v>51</v>
      </c>
      <c r="D15" s="191"/>
      <c r="E15" s="191"/>
      <c r="F15" s="192"/>
      <c r="G15" s="63"/>
      <c r="H15" s="63"/>
      <c r="I15" s="63"/>
      <c r="J15" s="63"/>
      <c r="K15" s="79"/>
      <c r="L15" s="79"/>
    </row>
    <row r="16" spans="1:12" ht="19.5" customHeight="1" thickBot="1">
      <c r="A16" s="63"/>
      <c r="B16" s="43">
        <v>2</v>
      </c>
      <c r="C16" s="193"/>
      <c r="D16" s="193"/>
      <c r="E16" s="194"/>
      <c r="F16" s="195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12,2)+ROUNDDOWN($E$7*C17/12,2)*0.03-ROUNDDOWN($E$7*C17/12,2)*Intro!$F$7-(ROUNDDOWN($E$7*C17/12,2)+ROUNDDOWN($E$7*C17/12,2)*0.03)*Intro!$F$17*Intro!$F$19-(ROUNDDOWN($E$7*C17/12,2)+ROUNDDOWN($E$7*C17/12,2)*0.03)*Intro!$F$17*Intro!$F$21-(ROUNDDOWN($E$7*C17/12,2)+ROUNDDOWN($E$7*C17/12,2)*0.03-ROUNDDOWN($E$7*C17/12,2)*Intro!$F$7-ROUND($E$7*C17/12*0.03*0.05,2))*0.01-ROUND((($E$7*C17/12)*0.03)*0.05,2)</f>
        <v>1708.63159068</v>
      </c>
      <c r="E17" s="185" t="s">
        <v>40</v>
      </c>
      <c r="F17" s="185"/>
      <c r="G17" s="186"/>
      <c r="H17" s="63"/>
      <c r="I17" s="63"/>
      <c r="J17" s="63"/>
      <c r="K17" s="63"/>
      <c r="L17" s="79"/>
    </row>
    <row r="18" spans="2:11" ht="19.5" customHeight="1" thickBot="1">
      <c r="B18" s="43">
        <v>4</v>
      </c>
      <c r="C18" s="44">
        <f>Indices!F8</f>
        <v>445</v>
      </c>
      <c r="D18" s="65">
        <f>ROUNDDOWN($E$7*C18/12,2)+ROUNDDOWN($E$7*C18/12,2)*0.03-ROUNDDOWN($E$7*C18/12,2)*Intro!$F$7-(ROUNDDOWN($E$7*C18/12,2)+ROUNDDOWN($E$7*C18/12,2)*0.03)*Intro!$F$17*Intro!$F$19-(ROUNDDOWN($E$7*C18/12,2)+ROUNDDOWN($E$7*C18/12,2)*0.03)*Intro!$F$17*Intro!$F$21-(ROUNDDOWN($E$7*C18/12,2)+ROUNDDOWN($E$7*C18/12,2)*0.03-ROUNDDOWN($E$7*C18/12,2)*Intro!$F$7-ROUND($E$7*C18/12*0.03*0.05,2))*0.01-ROUND((($E$7*C18/12)*0.03)*0.05,2)</f>
        <v>1760.0459300699997</v>
      </c>
      <c r="E18" s="187"/>
      <c r="F18" s="187"/>
      <c r="G18" s="188"/>
      <c r="H18" s="63"/>
      <c r="I18" s="63"/>
      <c r="J18" s="63"/>
      <c r="K18" s="63"/>
    </row>
    <row r="19" spans="2:12" ht="19.5" customHeight="1" thickTop="1">
      <c r="B19" s="43">
        <v>5</v>
      </c>
      <c r="C19" s="44">
        <f>Indices!F9</f>
        <v>458</v>
      </c>
      <c r="D19" s="65">
        <f>ROUNDDOWN($E$7*C19/12,2)+ROUNDDOWN($E$7*C19/12,2)*0.03-ROUNDDOWN($E$7*C19/12,2)*Intro!$F$7-(ROUNDDOWN($E$7*C19/12,2)+ROUNDDOWN($E$7*C19/12,2)*0.03)*Intro!$F$17*Intro!$F$19-(ROUNDDOWN($E$7*C19/12,2)+ROUNDDOWN($E$7*C19/12,2)*0.03)*Intro!$F$17*Intro!$F$21-(ROUNDDOWN($E$7*C19/12,2)+ROUNDDOWN($E$7*C19/12,2)*0.03-ROUNDDOWN($E$7*C19/12,2)*Intro!$F$7-ROUND($E$7*C19/12*0.03*0.05,2))*0.01-ROUND((($E$7*C19/12)*0.03)*0.05,2)</f>
        <v>1811.4688262700001</v>
      </c>
      <c r="E19" s="165" t="s">
        <v>13</v>
      </c>
      <c r="F19" s="169" t="s">
        <v>14</v>
      </c>
      <c r="G19" s="171" t="s">
        <v>15</v>
      </c>
      <c r="H19" s="66" t="s">
        <v>16</v>
      </c>
      <c r="I19" s="84"/>
      <c r="J19" s="84"/>
      <c r="K19" s="84"/>
      <c r="L19" s="81"/>
    </row>
    <row r="20" spans="2:12" ht="19.5" customHeight="1" thickBot="1">
      <c r="B20" s="43">
        <v>6</v>
      </c>
      <c r="C20" s="44">
        <f>Indices!F10</f>
        <v>467</v>
      </c>
      <c r="D20" s="65">
        <f>ROUNDDOWN($E$7*C20/12,2)+ROUNDDOWN($E$7*C20/12,2)*0.03-ROUNDDOWN($E$7*C20/12,2)*Intro!$F$7-(ROUNDDOWN($E$7*C20/12,2)+ROUNDDOWN($E$7*C20/12,2)*0.03)*Intro!$F$17*Intro!$F$19-(ROUNDDOWN($E$7*C20/12,2)+ROUNDDOWN($E$7*C20/12,2)*0.03)*Intro!$F$17*Intro!$F$21-(ROUNDDOWN($E$7*C20/12,2)+ROUNDDOWN($E$7*C20/12,2)*0.03-ROUNDDOWN($E$7*C20/12,2)*Intro!$F$7-ROUND($E$7*C20/12*0.03*0.05,2))*0.01-ROUND((($E$7*C20/12)*0.03)*0.05,2)</f>
        <v>1847.06565354</v>
      </c>
      <c r="E20" s="166"/>
      <c r="F20" s="170"/>
      <c r="G20" s="172"/>
      <c r="H20" s="85" t="str">
        <f>"Retraite "&amp;Intro!F7*100&amp;" % du traitement brut"</f>
        <v>Retraite 8,39 % du traitement brut</v>
      </c>
      <c r="I20" s="71"/>
      <c r="J20" s="71"/>
      <c r="K20" s="71"/>
      <c r="L20" s="81"/>
    </row>
    <row r="21" spans="2:11" ht="19.5" customHeight="1" thickTop="1">
      <c r="B21" s="43">
        <v>7</v>
      </c>
      <c r="C21" s="44">
        <f>Indices!F11</f>
        <v>495</v>
      </c>
      <c r="D21" s="65">
        <f>ROUNDDOWN($E$7*C21/12,2)+ROUNDDOWN($E$7*C21/12,2)*0.03-ROUNDDOWN($E$7*C21/12,2)*Intro!$F$7-(ROUNDDOWN($E$7*C21/12,2)+ROUNDDOWN($E$7*C21/12,2)*0.03)*Intro!$F$17*Intro!$F$19-(ROUNDDOWN($E$7*C21/12,2)+ROUNDDOWN($E$7*C21/12,2)*0.03)*Intro!$F$17*Intro!$F$21-(ROUNDDOWN($E$7*C21/12,2)+ROUNDDOWN($E$7*C21/12,2)*0.03-ROUNDDOWN($E$7*C21/12,2)*Intro!$F$7-ROUND($E$7*C21/12*0.03*0.05,2))*0.01-ROUND((($E$7*C21/12)*0.03)*0.05,2)</f>
        <v>1957.8066951899998</v>
      </c>
      <c r="E21" s="67">
        <v>1</v>
      </c>
      <c r="F21" s="68">
        <f>Indices!I5</f>
        <v>495</v>
      </c>
      <c r="G21" s="64">
        <f>ROUNDDOWN($E$7*F21/12,2)+ROUNDDOWN($E$7*F21/12,2)*0.03-ROUNDDOWN($E$7*F21/12,2)*Intro!$F$7-(ROUNDDOWN($E$7*F21/12,2)+ROUNDDOWN($E$7*F21/12,2)*0.03)*Intro!$F$17*Intro!$F$19-(ROUNDDOWN($E$7*F21/12,2)+ROUNDDOWN($E$7*F21/12,2)*0.03)*Intro!$F$17*Intro!$F$21-(ROUNDDOWN($E$7*F21/12,2)+ROUNDDOWN($E$7*F21/12,2)*0.03-ROUNDDOWN($E$7*F21/12,2)*Intro!$F$7-ROUND($E$7*F21/12*0.03*0.05,2))*0.01-ROUND((($E$7*F21/12)*0.03)*0.05,2)</f>
        <v>1957.8066951899998</v>
      </c>
      <c r="H21" s="163" t="s">
        <v>44</v>
      </c>
      <c r="I21" s="164"/>
      <c r="J21" s="164"/>
      <c r="K21" s="164"/>
    </row>
    <row r="22" spans="2:11" ht="19.5" customHeight="1">
      <c r="B22" s="43">
        <v>8</v>
      </c>
      <c r="C22" s="44">
        <f>Indices!F12</f>
        <v>531</v>
      </c>
      <c r="D22" s="65">
        <f>ROUNDDOWN($E$7*C22/12,2)+ROUNDDOWN($E$7*C22/12,2)*0.03-ROUNDDOWN($E$7*C22/12,2)*Intro!$F$7-(ROUNDDOWN($E$7*C22/12,2)+ROUNDDOWN($E$7*C22/12,2)*0.03)*Intro!$F$17*Intro!$F$19-(ROUNDDOWN($E$7*C22/12,2)+ROUNDDOWN($E$7*C22/12,2)*0.03)*Intro!$F$17*Intro!$F$21-(ROUNDDOWN($E$7*C22/12,2)+ROUNDDOWN($E$7*C22/12,2)*0.03-ROUNDDOWN($E$7*C22/12,2)*Intro!$F$7-ROUND($E$7*C22/12*0.03*0.05,2))*0.01-ROUND((($E$7*C22/12)*0.03)*0.05,2)</f>
        <v>2100.19266108</v>
      </c>
      <c r="E22" s="69">
        <v>2</v>
      </c>
      <c r="F22" s="70">
        <f>Indices!I6</f>
        <v>560</v>
      </c>
      <c r="G22" s="65">
        <f>ROUNDDOWN($E$7*F22/12,2)+ROUNDDOWN($E$7*F22/12,2)*0.03-ROUNDDOWN($E$7*F22/12,2)*Intro!$F$7-(ROUNDDOWN($E$7*F22/12,2)+ROUNDDOWN($E$7*F22/12,2)*0.03)*Intro!$F$17*Intro!$F$19-(ROUNDDOWN($E$7*F22/12,2)+ROUNDDOWN($E$7*F22/12,2)*0.03)*Intro!$F$17*Intro!$F$21-(ROUNDDOWN($E$7*F22/12,2)+ROUNDDOWN($E$7*F22/12,2)*0.03-ROUNDDOWN($E$7*F22/12,2)*Intro!$F$7-ROUND($E$7*F22/12*0.03*0.05,2))*0.01-ROUND((($E$7*F22/12)*0.03)*0.05,2)</f>
        <v>2214.89550576</v>
      </c>
      <c r="H22" s="163"/>
      <c r="I22" s="164"/>
      <c r="J22" s="164"/>
      <c r="K22" s="164"/>
    </row>
    <row r="23" spans="2:11" ht="19.5" customHeight="1">
      <c r="B23" s="43">
        <v>9</v>
      </c>
      <c r="C23" s="44">
        <f>Indices!F13</f>
        <v>567</v>
      </c>
      <c r="D23" s="65">
        <f>ROUNDDOWN($E$7*C23/12,2)+ROUNDDOWN($E$7*C23/12,2)*0.03-ROUNDDOWN($E$7*C23/12,2)*Intro!$F$7-(ROUNDDOWN($E$7*C23/12,2)+ROUNDDOWN($E$7*C23/12,2)*0.03)*Intro!$F$17*Intro!$F$19-(ROUNDDOWN($E$7*C23/12,2)+ROUNDDOWN($E$7*C23/12,2)*0.03)*Intro!$F$17*Intro!$F$21-(ROUNDDOWN($E$7*C23/12,2)+ROUNDDOWN($E$7*C23/12,2)*0.03-ROUNDDOWN($E$7*C23/12,2)*Intro!$F$7-ROUND($E$7*C23/12*0.03*0.05,2))*0.01-ROUND((($E$7*C23/12)*0.03)*0.05,2)</f>
        <v>2242.5786269699997</v>
      </c>
      <c r="E23" s="69">
        <v>3</v>
      </c>
      <c r="F23" s="70">
        <f>Indices!I7</f>
        <v>601</v>
      </c>
      <c r="G23" s="65">
        <f>ROUNDDOWN($E$7*F23/12,2)+ROUNDDOWN($E$7*F23/12,2)*0.03-ROUNDDOWN($E$7*F23/12,2)*Intro!$F$7-(ROUNDDOWN($E$7*F23/12,2)+ROUNDDOWN($E$7*F23/12,2)*0.03)*Intro!$F$17*Intro!$F$19-(ROUNDDOWN($E$7*F23/12,2)+ROUNDDOWN($E$7*F23/12,2)*0.03)*Intro!$F$17*Intro!$F$21-(ROUNDDOWN($E$7*F23/12,2)+ROUNDDOWN($E$7*F23/12,2)*0.03-ROUNDDOWN($E$7*F23/12,2)*Intro!$F$7-ROUND($E$7*F23/12*0.03*0.05,2))*0.01-ROUND((($E$7*F23/12)*0.03)*0.05,2)</f>
        <v>2377.0607868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12,2)+ROUNDDOWN($E$7*C24/12,2)*0.03-ROUNDDOWN($E$7*C24/12,2)*Intro!$F$7-(ROUNDDOWN($E$7*C24/12,2)+ROUNDDOWN($E$7*C24/12,2)*0.03)*Intro!$F$17*Intro!$F$19-(ROUNDDOWN($E$7*C24/12,2)+ROUNDDOWN($E$7*C24/12,2)*0.03)*Intro!$F$17*Intro!$F$21-(ROUNDDOWN($E$7*C24/12,2)+ROUNDDOWN($E$7*C24/12,2)*0.03-ROUNDDOWN($E$7*C24/12,2)*Intro!$F$7-ROUND($E$7*C24/12*0.03*0.05,2))*0.01-ROUND((($E$7*C24/12)*0.03)*0.05,2)</f>
        <v>2420.5614201299995</v>
      </c>
      <c r="E24" s="69">
        <v>4</v>
      </c>
      <c r="F24" s="70">
        <f>Indices!I8</f>
        <v>642</v>
      </c>
      <c r="G24" s="65">
        <f>ROUNDDOWN($E$7*F24/12,2)+ROUNDDOWN($E$7*F24/12,2)*0.03-ROUNDDOWN($E$7*F24/12,2)*Intro!$F$7-(ROUNDDOWN($E$7*F24/12,2)+ROUNDDOWN($E$7*F24/12,2)*0.03)*Intro!$F$17*Intro!$F$19-(ROUNDDOWN($E$7*F24/12,2)+ROUNDDOWN($E$7*F24/12,2)*0.03)*Intro!$F$17*Intro!$F$21-(ROUNDDOWN($E$7*F24/12,2)+ROUNDDOWN($E$7*F24/12,2)*0.03-ROUNDDOWN($E$7*F24/12,2)*Intro!$F$7-ROUND($E$7*F24/12*0.03*0.05,2))*0.01-ROUND((($E$7*F24/12)*0.03)*0.05,2)</f>
        <v>2539.21616784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12,2)+ROUNDDOWN($E$7*C25/12,2)*0.03-ROUNDDOWN($E$7*C25/12,2)*Intro!$F$7-(ROUNDDOWN($E$7*C25/12,2)+ROUNDDOWN($E$7*C25/12,2)*0.03)*Intro!$F$17*Intro!$F$19-(ROUNDDOWN($E$7*C25/12,2)+ROUNDDOWN($E$7*C25/12,2)*0.03)*Intro!$F$17*Intro!$F$21-(ROUNDDOWN($E$7*C25/12,2)+ROUNDDOWN($E$7*C25/12,2)*0.03-ROUNDDOWN($E$7*C25/12,2)*Intro!$F$7-ROUND($E$7*C25/12*0.03*0.05,2))*0.01-ROUND((($E$7*C25/12)*0.03)*0.05,2)</f>
        <v>2602.504673129999</v>
      </c>
      <c r="E25" s="69">
        <v>5</v>
      </c>
      <c r="F25" s="70">
        <f>Indices!I9</f>
        <v>695</v>
      </c>
      <c r="G25" s="65">
        <f>ROUNDDOWN($E$7*F25/12,2)+ROUNDDOWN($E$7*F25/12,2)*0.03-ROUNDDOWN($E$7*F25/12,2)*Intro!$F$7-(ROUNDDOWN($E$7*F25/12,2)+ROUNDDOWN($E$7*F25/12,2)*0.03)*Intro!$F$17*Intro!$F$19-(ROUNDDOWN($E$7*F25/12,2)+ROUNDDOWN($E$7*F25/12,2)*0.03)*Intro!$F$17*Intro!$F$21-(ROUNDDOWN($E$7*F25/12,2)+ROUNDDOWN($E$7*F25/12,2)*0.03-ROUNDDOWN($E$7*F25/12,2)*Intro!$F$7-ROUND($E$7*F25/12*0.03*0.05,2))*0.01-ROUND((($E$7*F25/12)*0.03)*0.05,2)</f>
        <v>2748.84254205</v>
      </c>
      <c r="H25" s="163" t="s">
        <v>41</v>
      </c>
      <c r="I25" s="164"/>
      <c r="J25" s="164"/>
      <c r="K25" s="164"/>
    </row>
    <row r="26" spans="5:11" ht="19.5" customHeight="1" thickTop="1">
      <c r="E26" s="43">
        <v>6</v>
      </c>
      <c r="F26" s="70">
        <f>Indices!I10</f>
        <v>741</v>
      </c>
      <c r="G26" s="65">
        <f>ROUNDDOWN($E$7*F26/12,2)+ROUNDDOWN($E$7*F26/12,2)*0.03-ROUNDDOWN($E$7*F26/12,2)*Intro!$F$7-(ROUNDDOWN($E$7*F26/12,2)+ROUNDDOWN($E$7*F26/12,2)*0.03)*Intro!$F$17*Intro!$F$19-(ROUNDDOWN($E$7*F26/12,2)+ROUNDDOWN($E$7*F26/12,2)*0.03)*Intro!$F$17*Intro!$F$21-(ROUNDDOWN($E$7*F26/12,2)+ROUNDDOWN($E$7*F26/12,2)*0.03-ROUNDDOWN($E$7*F26/12,2)*Intro!$F$7-ROUND($E$7*F26/12*0.03*0.05,2))*0.01-ROUND((($E$7*F26/12)*0.03)*0.05,2)</f>
        <v>2930.77723824</v>
      </c>
      <c r="H26" s="163"/>
      <c r="I26" s="164"/>
      <c r="J26" s="164"/>
      <c r="K26" s="164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72">
        <f>ROUNDDOWN($E$7*F27/12,2)+ROUNDDOWN($E$7*F27/12,2)*0.03-ROUNDDOWN($E$7*F27/12,2)*Intro!$F$7-(ROUNDDOWN($E$7*F27/12,2)+ROUNDDOWN($E$7*F27/12,2)*0.03)*Intro!$F$17*Intro!$F$19-(ROUNDDOWN($E$7*F27/12,2)+ROUNDDOWN($E$7*F27/12,2)*0.03)*Intro!$F$17*Intro!$F$21-(ROUNDDOWN($E$7*F27/12,2)+ROUNDDOWN($E$7*F27/12,2)*0.03-ROUNDDOWN($E$7*F27/12,2)*Intro!$F$7-ROUND($E$7*F27/12*0.03*0.05,2))*0.01-ROUND((($E$7*F27/12)*0.03)*0.05,2)</f>
        <v>3096.89442231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2" s="56" customFormat="1" ht="39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31" t="s">
        <v>37</v>
      </c>
      <c r="K29" s="28"/>
      <c r="L29" s="28"/>
    </row>
    <row r="30" spans="1:12" ht="19.5" customHeight="1" thickBot="1" thickTop="1">
      <c r="A30" s="33"/>
      <c r="B30" s="32"/>
      <c r="C30" s="156" t="s">
        <v>12</v>
      </c>
      <c r="D30" s="157"/>
      <c r="E30" s="157"/>
      <c r="F30" s="157"/>
      <c r="G30" s="157"/>
      <c r="H30" s="157"/>
      <c r="I30" s="157"/>
      <c r="J30" s="158"/>
      <c r="K30" s="33"/>
      <c r="L30" s="33"/>
    </row>
    <row r="31" spans="1:13" s="28" customFormat="1" ht="19.5" customHeight="1" thickBot="1" thickTop="1">
      <c r="A31" s="33"/>
      <c r="B31" s="32"/>
      <c r="C31" s="182" t="s">
        <v>26</v>
      </c>
      <c r="D31" s="184"/>
      <c r="E31" s="182" t="s">
        <v>0</v>
      </c>
      <c r="F31" s="183"/>
      <c r="G31" s="184"/>
      <c r="H31" s="182" t="s">
        <v>1</v>
      </c>
      <c r="I31" s="183"/>
      <c r="J31" s="184"/>
      <c r="K31" s="33"/>
      <c r="L31" s="33"/>
      <c r="M31" s="79"/>
    </row>
    <row r="32" spans="1:12" s="63" customFormat="1" ht="19.5" customHeight="1" thickTop="1">
      <c r="A32" s="34"/>
      <c r="B32" s="225" t="s">
        <v>13</v>
      </c>
      <c r="C32" s="169" t="s">
        <v>14</v>
      </c>
      <c r="D32" s="171" t="s">
        <v>15</v>
      </c>
      <c r="E32" s="169" t="s">
        <v>14</v>
      </c>
      <c r="F32" s="197" t="s">
        <v>15</v>
      </c>
      <c r="G32" s="165"/>
      <c r="H32" s="169" t="s">
        <v>14</v>
      </c>
      <c r="I32" s="197" t="s">
        <v>15</v>
      </c>
      <c r="J32" s="165"/>
      <c r="K32" s="34"/>
      <c r="L32" s="34"/>
    </row>
    <row r="33" spans="1:13" s="63" customFormat="1" ht="19.5" customHeight="1" thickBot="1">
      <c r="A33" s="34"/>
      <c r="B33" s="226"/>
      <c r="C33" s="170"/>
      <c r="D33" s="172"/>
      <c r="E33" s="170"/>
      <c r="F33" s="35" t="s">
        <v>27</v>
      </c>
      <c r="G33" s="35" t="s">
        <v>39</v>
      </c>
      <c r="H33" s="170"/>
      <c r="I33" s="35" t="s">
        <v>27</v>
      </c>
      <c r="J33" s="35" t="s">
        <v>39</v>
      </c>
      <c r="K33" s="34"/>
      <c r="L33" s="34"/>
      <c r="M33" s="79"/>
    </row>
    <row r="34" spans="1:12" s="63" customFormat="1" ht="19.5" customHeight="1" thickTop="1">
      <c r="A34" s="22"/>
      <c r="B34" s="37">
        <v>1</v>
      </c>
      <c r="C34" s="38">
        <f>Indices!C5</f>
        <v>341</v>
      </c>
      <c r="D34" s="41">
        <f>ROUNDDOWN($E$7*C34/12,2)+ROUNDDOWN($E$7*C34/12,2)*0.03-ROUNDDOWN($E$7*C34/12,2)*Intro!$F$7-(ROUNDDOWN($E$7*C34/12,2)+ROUNDDOWN($E$7*C34/12,2)*0.03)*Intro!$F$17*Intro!$F$19-(ROUNDDOWN($E$7*C34/12,2)+ROUNDDOWN($E$7*C34/12,2)*0.03)*Intro!$F$17*Intro!$F$21-(ROUNDDOWN($E$7*C34/12,2)+ROUNDDOWN($E$7*C34/12,2)*0.03-ROUNDDOWN($E$7*C34/12,2)*Intro!$F$7-ROUND($E$7*C34/12*0.03*0.05,2))*0.01-ROUND((($E$7*C34/12)*0.03)*0.05,2)</f>
        <v>1348.70554452</v>
      </c>
      <c r="E34" s="40">
        <f>C34</f>
        <v>341</v>
      </c>
      <c r="F34" s="41">
        <f>ROUNDDOWN($E$7*E34/12,2)+ROUNDDOWN($E$7*E34/12,2)*0.03-ROUNDDOWN($E$7*E34/12,2)*Intro!$F$7-(ROUNDDOWN($E$7*E34/12,2)+ROUNDDOWN($E$7*E34/12,2)*0.03+ROUNDDOWN($F$46,2))*Intro!$F$17*Intro!$F$19-(ROUNDDOWN($E$7*E34/12,2)+ROUNDDOWN($E$7*E34/12,2)*0.03+ROUNDDOWN($F$46,2))*Intro!$F$17*Intro!$F$21-(ROUNDDOWN($E$7*E34/12,2)+ROUNDDOWN($E$7*E34/12,2)*0.03-ROUNDDOWN($E$7*E34/12,2)*Intro!$F$7-ROUND((($E$7*E34/12)*0.03+$F$46)*0.05,2))*0.01-ROUND((($E$7*E34/12)*0.03+$F$46)*0.05,2)</f>
        <v>1324.00786452</v>
      </c>
      <c r="G34" s="41">
        <f aca="true" t="shared" si="0" ref="G34:G44">F34+$F$46</f>
        <v>1516.80786452</v>
      </c>
      <c r="H34" s="40">
        <f>C34</f>
        <v>341</v>
      </c>
      <c r="I34" s="41">
        <f>ROUNDDOWN($E$7*H34/12,2)+ROUNDDOWN($E$7*H34/12,2)*0.03-ROUNDDOWN($E$7*H34/12,2)*Intro!$F$7-(ROUNDDOWN($E$7*H34/12,2)+ROUNDDOWN($E$7*H34/12,2)*0.03+ROUNDDOWN($I$46,2))*Intro!$F$17*Intro!$F$19-(ROUNDDOWN($E$7*H34/12,2)+ROUNDDOWN($E$7*H34/12,2)*0.03+ROUNDDOWN($I$46,2))*Intro!$F$17*Intro!$F$21-(ROUNDDOWN($E$7*H34/12,2)+ROUNDDOWN($E$7*H34/12,2)*0.03-ROUNDDOWN($E$7*H34/12,2)*Intro!$F$7-ROUND((($E$7*H34/12)*0.03+$I$46)*0.05,2))*0.01-ROUND((($E$7*H34/12)*0.03+$I$46)*0.05,2)</f>
        <v>1317.83344452</v>
      </c>
      <c r="J34" s="41">
        <f aca="true" t="shared" si="1" ref="J34:J44">I34+$I$46</f>
        <v>1558.83344452</v>
      </c>
      <c r="K34" s="22"/>
      <c r="L34" s="22"/>
    </row>
    <row r="35" spans="1:12" s="28" customFormat="1" ht="19.5" customHeight="1">
      <c r="A35" s="22"/>
      <c r="B35" s="43">
        <v>2</v>
      </c>
      <c r="C35" s="44">
        <f>Indices!C6</f>
        <v>357</v>
      </c>
      <c r="D35" s="46">
        <f>ROUNDDOWN($E$7*C35/12,2)+ROUNDDOWN($E$7*C35/12,2)*0.03-ROUNDDOWN($E$7*C35/12,2)*Intro!$F$7-(ROUNDDOWN($E$7*C35/12,2)+ROUNDDOWN($E$7*C35/12,2)*0.03)*Intro!$F$17*Intro!$F$19-(ROUNDDOWN($E$7*C35/12,2)+ROUNDDOWN($E$7*C35/12,2)*0.03)*Intro!$F$17*Intro!$F$21-(ROUNDDOWN($E$7*C35/12,2)+ROUNDDOWN($E$7*C35/12,2)*0.03-ROUNDDOWN($E$7*C35/12,2)*Intro!$F$7-ROUND($E$7*C35/12*0.03*0.05,2))*0.01-ROUND((($E$7*C35/12)*0.03)*0.05,2)</f>
        <v>1411.9940498100002</v>
      </c>
      <c r="E35" s="44">
        <f aca="true" t="shared" si="2" ref="E35:E44">C35</f>
        <v>357</v>
      </c>
      <c r="F35" s="46">
        <f>ROUNDDOWN($E$7*E35/12,2)+ROUNDDOWN($E$7*E35/12,2)*0.03-ROUNDDOWN($E$7*E35/12,2)*Intro!$F$7-(ROUNDDOWN($E$7*E35/12,2)+ROUNDDOWN($E$7*E35/12,2)*0.03+ROUNDDOWN($F$46,2))*Intro!$F$17*Intro!$F$19-(ROUNDDOWN($E$7*E35/12,2)+ROUNDDOWN($E$7*E35/12,2)*0.03+ROUNDDOWN($F$46,2))*Intro!$F$17*Intro!$F$21-(ROUNDDOWN($E$7*E35/12,2)+ROUNDDOWN($E$7*E35/12,2)*0.03-ROUNDDOWN($E$7*E35/12,2)*Intro!$F$7-ROUND((($E$7*E35/12)*0.03+$F$46)*0.05,2))*0.01-ROUND((($E$7*E35/12)*0.03+$F$46)*0.05,2)</f>
        <v>1387.2963698100002</v>
      </c>
      <c r="G35" s="46">
        <f t="shared" si="0"/>
        <v>1580.0963698100002</v>
      </c>
      <c r="H35" s="44">
        <f aca="true" t="shared" si="3" ref="H35:H44">C35</f>
        <v>357</v>
      </c>
      <c r="I35" s="46">
        <f>ROUNDDOWN($E$7*H35/12,2)+ROUNDDOWN($E$7*H35/12,2)*0.03-ROUNDDOWN($E$7*H35/12,2)*Intro!$F$7-(ROUNDDOWN($E$7*H35/12,2)+ROUNDDOWN($E$7*H35/12,2)*0.03+ROUNDDOWN($I$46,2))*Intro!$F$17*Intro!$F$19-(ROUNDDOWN($E$7*H35/12,2)+ROUNDDOWN($E$7*H35/12,2)*0.03+ROUNDDOWN($I$46,2))*Intro!$F$17*Intro!$F$21-(ROUNDDOWN($E$7*H35/12,2)+ROUNDDOWN($E$7*H35/12,2)*0.03-ROUNDDOWN($E$7*H35/12,2)*Intro!$F$7-ROUND((($E$7*H35/12)*0.03+$I$46)*0.05,2))*0.01-ROUND((($E$7*H35/12)*0.03+$I$46)*0.05,2)</f>
        <v>1381.1219498100002</v>
      </c>
      <c r="J35" s="46">
        <f t="shared" si="1"/>
        <v>1622.1219498100002</v>
      </c>
      <c r="K35" s="22"/>
      <c r="L35" s="22"/>
    </row>
    <row r="36" spans="2:10" ht="19.5" customHeight="1">
      <c r="B36" s="43">
        <v>3</v>
      </c>
      <c r="C36" s="44">
        <f>Indices!C7</f>
        <v>366</v>
      </c>
      <c r="D36" s="46">
        <f>ROUNDDOWN($E$7*C36/12,2)+ROUNDDOWN($E$7*C36/12,2)*0.03-ROUNDDOWN($E$7*C36/12,2)*Intro!$F$7-(ROUNDDOWN($E$7*C36/12,2)+ROUNDDOWN($E$7*C36/12,2)*0.03)*Intro!$F$17*Intro!$F$19-(ROUNDDOWN($E$7*C36/12,2)+ROUNDDOWN($E$7*C36/12,2)*0.03)*Intro!$F$17*Intro!$F$21-(ROUNDDOWN($E$7*C36/12,2)+ROUNDDOWN($E$7*C36/12,2)*0.03-ROUNDDOWN($E$7*C36/12,2)*Intro!$F$7-ROUND($E$7*C36/12*0.03*0.05,2))*0.01-ROUND((($E$7*C36/12)*0.03)*0.05,2)</f>
        <v>1447.5908770800004</v>
      </c>
      <c r="E36" s="44">
        <f t="shared" si="2"/>
        <v>366</v>
      </c>
      <c r="F36" s="46">
        <f>ROUNDDOWN($E$7*E36/12,2)+ROUNDDOWN($E$7*E36/12,2)*0.03-ROUNDDOWN($E$7*E36/12,2)*Intro!$F$7-(ROUNDDOWN($E$7*E36/12,2)+ROUNDDOWN($E$7*E36/12,2)*0.03+ROUNDDOWN($F$46,2))*Intro!$F$17*Intro!$F$19-(ROUNDDOWN($E$7*E36/12,2)+ROUNDDOWN($E$7*E36/12,2)*0.03+ROUNDDOWN($F$46,2))*Intro!$F$17*Intro!$F$21-(ROUNDDOWN($E$7*E36/12,2)+ROUNDDOWN($E$7*E36/12,2)*0.03-ROUNDDOWN($E$7*E36/12,2)*Intro!$F$7-ROUND((($E$7*E36/12)*0.03+$F$46)*0.05,2))*0.01-ROUND((($E$7*E36/12)*0.03+$F$46)*0.05,2)</f>
        <v>1422.8931970800002</v>
      </c>
      <c r="G36" s="46">
        <f t="shared" si="0"/>
        <v>1615.6931970800001</v>
      </c>
      <c r="H36" s="44">
        <f t="shared" si="3"/>
        <v>366</v>
      </c>
      <c r="I36" s="46">
        <f>ROUNDDOWN($E$7*H36/12,2)+ROUNDDOWN($E$7*H36/12,2)*0.03-ROUNDDOWN($E$7*H36/12,2)*Intro!$F$7-(ROUNDDOWN($E$7*H36/12,2)+ROUNDDOWN($E$7*H36/12,2)*0.03+ROUNDDOWN($I$46,2))*Intro!$F$17*Intro!$F$19-(ROUNDDOWN($E$7*H36/12,2)+ROUNDDOWN($E$7*H36/12,2)*0.03+ROUNDDOWN($I$46,2))*Intro!$F$17*Intro!$F$21-(ROUNDDOWN($E$7*H36/12,2)+ROUNDDOWN($E$7*H36/12,2)*0.03-ROUNDDOWN($E$7*H36/12,2)*Intro!$F$7-ROUND((($E$7*H36/12)*0.03+$I$46)*0.05,2))*0.01-ROUND((($E$7*H36/12)*0.03+$I$46)*0.05,2)</f>
        <v>1416.7187770800003</v>
      </c>
      <c r="J36" s="46">
        <f t="shared" si="1"/>
        <v>1657.7187770800003</v>
      </c>
    </row>
    <row r="37" spans="2:10" ht="19.5" customHeight="1">
      <c r="B37" s="43">
        <v>4</v>
      </c>
      <c r="C37" s="44">
        <f>Indices!C8</f>
        <v>373</v>
      </c>
      <c r="D37" s="46">
        <f>ROUNDDOWN($E$7*C37/12,2)+ROUNDDOWN($E$7*C37/12,2)*0.03-ROUNDDOWN($E$7*C37/12,2)*Intro!$F$7-(ROUNDDOWN($E$7*C37/12,2)+ROUNDDOWN($E$7*C37/12,2)*0.03)*Intro!$F$17*Intro!$F$19-(ROUNDDOWN($E$7*C37/12,2)+ROUNDDOWN($E$7*C37/12,2)*0.03)*Intro!$F$17*Intro!$F$21-(ROUNDDOWN($E$7*C37/12,2)+ROUNDDOWN($E$7*C37/12,2)*0.03-ROUNDDOWN($E$7*C37/12,2)*Intro!$F$7-ROUND($E$7*C37/12*0.03*0.05,2))*0.01-ROUND((($E$7*C37/12)*0.03)*0.05,2)</f>
        <v>1475.2739982899998</v>
      </c>
      <c r="E37" s="44">
        <f t="shared" si="2"/>
        <v>373</v>
      </c>
      <c r="F37" s="46">
        <f>ROUNDDOWN($E$7*E37/12,2)+ROUNDDOWN($E$7*E37/12,2)*0.03-ROUNDDOWN($E$7*E37/12,2)*Intro!$F$7-(ROUNDDOWN($E$7*E37/12,2)+ROUNDDOWN($E$7*E37/12,2)*0.03+ROUNDDOWN($F$46,2))*Intro!$F$17*Intro!$F$19-(ROUNDDOWN($E$7*E37/12,2)+ROUNDDOWN($E$7*E37/12,2)*0.03+ROUNDDOWN($F$46,2))*Intro!$F$17*Intro!$F$21-(ROUNDDOWN($E$7*E37/12,2)+ROUNDDOWN($E$7*E37/12,2)*0.03-ROUNDDOWN($E$7*E37/12,2)*Intro!$F$7-ROUND((($E$7*E37/12)*0.03+$F$46)*0.05,2))*0.01-ROUND((($E$7*E37/12)*0.03+$F$46)*0.05,2)</f>
        <v>1450.5763182899998</v>
      </c>
      <c r="G37" s="46">
        <f t="shared" si="0"/>
        <v>1643.3763182899997</v>
      </c>
      <c r="H37" s="44">
        <f t="shared" si="3"/>
        <v>373</v>
      </c>
      <c r="I37" s="46">
        <f>ROUNDDOWN($E$7*H37/12,2)+ROUNDDOWN($E$7*H37/12,2)*0.03-ROUNDDOWN($E$7*H37/12,2)*Intro!$F$7-(ROUNDDOWN($E$7*H37/12,2)+ROUNDDOWN($E$7*H37/12,2)*0.03+ROUNDDOWN($I$46,2))*Intro!$F$17*Intro!$F$19-(ROUNDDOWN($E$7*H37/12,2)+ROUNDDOWN($E$7*H37/12,2)*0.03+ROUNDDOWN($I$46,2))*Intro!$F$17*Intro!$F$21-(ROUNDDOWN($E$7*H37/12,2)+ROUNDDOWN($E$7*H37/12,2)*0.03-ROUNDDOWN($E$7*H37/12,2)*Intro!$F$7-ROUND((($E$7*H37/12)*0.03+$I$46)*0.05,2))*0.01-ROUND((($E$7*H37/12)*0.03+$I$46)*0.05,2)</f>
        <v>1444.4018982899997</v>
      </c>
      <c r="J37" s="46">
        <f t="shared" si="1"/>
        <v>1685.4018982899997</v>
      </c>
    </row>
    <row r="38" spans="2:10" ht="19.5" customHeight="1">
      <c r="B38" s="43">
        <v>5</v>
      </c>
      <c r="C38" s="44">
        <f>Indices!C9</f>
        <v>383</v>
      </c>
      <c r="D38" s="46">
        <f>ROUNDDOWN($E$7*C38/12,2)+ROUNDDOWN($E$7*C38/12,2)*0.03-ROUNDDOWN($E$7*C38/12,2)*Intro!$F$7-(ROUNDDOWN($E$7*C38/12,2)+ROUNDDOWN($E$7*C38/12,2)*0.03)*Intro!$F$17*Intro!$F$19-(ROUNDDOWN($E$7*C38/12,2)+ROUNDDOWN($E$7*C38/12,2)*0.03)*Intro!$F$17*Intro!$F$21-(ROUNDDOWN($E$7*C38/12,2)+ROUNDDOWN($E$7*C38/12,2)*0.03-ROUNDDOWN($E$7*C38/12,2)*Intro!$F$7-ROUND($E$7*C38/12*0.03*0.05,2))*0.01-ROUND((($E$7*C38/12)*0.03)*0.05,2)</f>
        <v>1514.8312854</v>
      </c>
      <c r="E38" s="44">
        <f t="shared" si="2"/>
        <v>383</v>
      </c>
      <c r="F38" s="46">
        <f>ROUNDDOWN($E$7*E38/12,2)+ROUNDDOWN($E$7*E38/12,2)*0.03-ROUNDDOWN($E$7*E38/12,2)*Intro!$F$7-(ROUNDDOWN($E$7*E38/12,2)+ROUNDDOWN($E$7*E38/12,2)*0.03+ROUNDDOWN($F$46,2))*Intro!$F$17*Intro!$F$19-(ROUNDDOWN($E$7*E38/12,2)+ROUNDDOWN($E$7*E38/12,2)*0.03+ROUNDDOWN($F$46,2))*Intro!$F$17*Intro!$F$21-(ROUNDDOWN($E$7*E38/12,2)+ROUNDDOWN($E$7*E38/12,2)*0.03-ROUNDDOWN($E$7*E38/12,2)*Intro!$F$7-ROUND((($E$7*E38/12)*0.03+$F$46)*0.05,2))*0.01-ROUND((($E$7*E38/12)*0.03+$F$46)*0.05,2)</f>
        <v>1490.1336054</v>
      </c>
      <c r="G38" s="46">
        <f t="shared" si="0"/>
        <v>1682.9336054</v>
      </c>
      <c r="H38" s="44">
        <f t="shared" si="3"/>
        <v>383</v>
      </c>
      <c r="I38" s="46">
        <f>ROUNDDOWN($E$7*H38/12,2)+ROUNDDOWN($E$7*H38/12,2)*0.03-ROUNDDOWN($E$7*H38/12,2)*Intro!$F$7-(ROUNDDOWN($E$7*H38/12,2)+ROUNDDOWN($E$7*H38/12,2)*0.03+ROUNDDOWN($I$46,2))*Intro!$F$17*Intro!$F$19-(ROUNDDOWN($E$7*H38/12,2)+ROUNDDOWN($E$7*H38/12,2)*0.03+ROUNDDOWN($I$46,2))*Intro!$F$17*Intro!$F$21-(ROUNDDOWN($E$7*H38/12,2)+ROUNDDOWN($E$7*H38/12,2)*0.03-ROUNDDOWN($E$7*H38/12,2)*Intro!$F$7-ROUND((($E$7*H38/12)*0.03+$I$46)*0.05,2))*0.01-ROUND((($E$7*H38/12)*0.03+$I$46)*0.05,2)</f>
        <v>1483.9591854</v>
      </c>
      <c r="J38" s="46">
        <f t="shared" si="1"/>
        <v>1724.9591854</v>
      </c>
    </row>
    <row r="39" spans="2:10" ht="19.5" customHeight="1">
      <c r="B39" s="43">
        <v>6</v>
      </c>
      <c r="C39" s="44">
        <f>Indices!C10</f>
        <v>390</v>
      </c>
      <c r="D39" s="46">
        <f>ROUNDDOWN($E$7*C39/12,2)+ROUNDDOWN($E$7*C39/12,2)*0.03-ROUNDDOWN($E$7*C39/12,2)*Intro!$F$7-(ROUNDDOWN($E$7*C39/12,2)+ROUNDDOWN($E$7*C39/12,2)*0.03)*Intro!$F$17*Intro!$F$19-(ROUNDDOWN($E$7*C39/12,2)+ROUNDDOWN($E$7*C39/12,2)*0.03)*Intro!$F$17*Intro!$F$21-(ROUNDDOWN($E$7*C39/12,2)+ROUNDDOWN($E$7*C39/12,2)*0.03-ROUNDDOWN($E$7*C39/12,2)*Intro!$F$7-ROUND($E$7*C39/12*0.03*0.05,2))*0.01-ROUND((($E$7*C39/12)*0.03)*0.05,2)</f>
        <v>1542.5144066100002</v>
      </c>
      <c r="E39" s="44">
        <f t="shared" si="2"/>
        <v>390</v>
      </c>
      <c r="F39" s="46">
        <f>ROUNDDOWN($E$7*E39/12,2)+ROUNDDOWN($E$7*E39/12,2)*0.03-ROUNDDOWN($E$7*E39/12,2)*Intro!$F$7-(ROUNDDOWN($E$7*E39/12,2)+ROUNDDOWN($E$7*E39/12,2)*0.03+ROUNDDOWN($F$46,2))*Intro!$F$17*Intro!$F$19-(ROUNDDOWN($E$7*E39/12,2)+ROUNDDOWN($E$7*E39/12,2)*0.03+ROUNDDOWN($F$46,2))*Intro!$F$17*Intro!$F$21-(ROUNDDOWN($E$7*E39/12,2)+ROUNDDOWN($E$7*E39/12,2)*0.03-ROUNDDOWN($E$7*E39/12,2)*Intro!$F$7-ROUND((($E$7*E39/12)*0.03+$F$46)*0.05,2))*0.01-ROUND((($E$7*E39/12)*0.03+$F$46)*0.05,2)</f>
        <v>1517.8167266100002</v>
      </c>
      <c r="G39" s="46">
        <f t="shared" si="0"/>
        <v>1710.6167266100001</v>
      </c>
      <c r="H39" s="44">
        <f t="shared" si="3"/>
        <v>390</v>
      </c>
      <c r="I39" s="46">
        <f>ROUNDDOWN($E$7*H39/12,2)+ROUNDDOWN($E$7*H39/12,2)*0.03-ROUNDDOWN($E$7*H39/12,2)*Intro!$F$7-(ROUNDDOWN($E$7*H39/12,2)+ROUNDDOWN($E$7*H39/12,2)*0.03+ROUNDDOWN($I$46,2))*Intro!$F$17*Intro!$F$19-(ROUNDDOWN($E$7*H39/12,2)+ROUNDDOWN($E$7*H39/12,2)*0.03+ROUNDDOWN($I$46,2))*Intro!$F$17*Intro!$F$21-(ROUNDDOWN($E$7*H39/12,2)+ROUNDDOWN($E$7*H39/12,2)*0.03-ROUNDDOWN($E$7*H39/12,2)*Intro!$F$7-ROUND((($E$7*H39/12)*0.03+$I$46)*0.05,2))*0.01-ROUND((($E$7*H39/12)*0.03+$I$46)*0.05,2)</f>
        <v>1511.6423066099999</v>
      </c>
      <c r="J39" s="46">
        <f t="shared" si="1"/>
        <v>1752.6423066099999</v>
      </c>
    </row>
    <row r="40" spans="2:10" ht="19.5" customHeight="1">
      <c r="B40" s="43">
        <v>7</v>
      </c>
      <c r="C40" s="44">
        <f>Indices!C11</f>
        <v>399</v>
      </c>
      <c r="D40" s="46">
        <f>ROUNDDOWN($E$7*C40/12,2)+ROUNDDOWN($E$7*C40/12,2)*0.03-ROUNDDOWN($E$7*C40/12,2)*Intro!$F$7-(ROUNDDOWN($E$7*C40/12,2)+ROUNDDOWN($E$7*C40/12,2)*0.03)*Intro!$F$17*Intro!$F$19-(ROUNDDOWN($E$7*C40/12,2)+ROUNDDOWN($E$7*C40/12,2)*0.03)*Intro!$F$17*Intro!$F$21-(ROUNDDOWN($E$7*C40/12,2)+ROUNDDOWN($E$7*C40/12,2)*0.03-ROUNDDOWN($E$7*C40/12,2)*Intro!$F$7-ROUND($E$7*C40/12*0.03*0.05,2))*0.01-ROUND((($E$7*C40/12)*0.03)*0.05,2)</f>
        <v>1578.11123388</v>
      </c>
      <c r="E40" s="44">
        <f t="shared" si="2"/>
        <v>399</v>
      </c>
      <c r="F40" s="46">
        <f>ROUNDDOWN($E$7*E40/12,2)+ROUNDDOWN($E$7*E40/12,2)*0.03-ROUNDDOWN($E$7*E40/12,2)*Intro!$F$7-(ROUNDDOWN($E$7*E40/12,2)+ROUNDDOWN($E$7*E40/12,2)*0.03+ROUNDDOWN($F$46,2))*Intro!$F$17*Intro!$F$19-(ROUNDDOWN($E$7*E40/12,2)+ROUNDDOWN($E$7*E40/12,2)*0.03+ROUNDDOWN($F$46,2))*Intro!$F$17*Intro!$F$21-(ROUNDDOWN($E$7*E40/12,2)+ROUNDDOWN($E$7*E40/12,2)*0.03-ROUNDDOWN($E$7*E40/12,2)*Intro!$F$7-ROUND((($E$7*E40/12)*0.03+$F$46)*0.05,2))*0.01-ROUND((($E$7*E40/12)*0.03+$F$46)*0.05,2)</f>
        <v>1553.4135538799999</v>
      </c>
      <c r="G40" s="46">
        <f t="shared" si="0"/>
        <v>1746.2135538799998</v>
      </c>
      <c r="H40" s="44">
        <f t="shared" si="3"/>
        <v>399</v>
      </c>
      <c r="I40" s="46">
        <f>ROUNDDOWN($E$7*H40/12,2)+ROUNDDOWN($E$7*H40/12,2)*0.03-ROUNDDOWN($E$7*H40/12,2)*Intro!$F$7-(ROUNDDOWN($E$7*H40/12,2)+ROUNDDOWN($E$7*H40/12,2)*0.03+ROUNDDOWN($I$46,2))*Intro!$F$17*Intro!$F$19-(ROUNDDOWN($E$7*H40/12,2)+ROUNDDOWN($E$7*H40/12,2)*0.03+ROUNDDOWN($I$46,2))*Intro!$F$17*Intro!$F$21-(ROUNDDOWN($E$7*H40/12,2)+ROUNDDOWN($E$7*H40/12,2)*0.03-ROUNDDOWN($E$7*H40/12,2)*Intro!$F$7-ROUND((($E$7*H40/12)*0.03+$I$46)*0.05,2))*0.01-ROUND((($E$7*H40/12)*0.03+$I$46)*0.05,2)</f>
        <v>1547.23913388</v>
      </c>
      <c r="J40" s="46">
        <f t="shared" si="1"/>
        <v>1788.23913388</v>
      </c>
    </row>
    <row r="41" spans="2:10" ht="19.5" customHeight="1">
      <c r="B41" s="43">
        <v>8</v>
      </c>
      <c r="C41" s="44">
        <f>Indices!C12</f>
        <v>420</v>
      </c>
      <c r="D41" s="46">
        <f>ROUNDDOWN($E$7*C41/12,2)+ROUNDDOWN($E$7*C41/12,2)*0.03-ROUNDDOWN($E$7*C41/12,2)*Intro!$F$7-(ROUNDDOWN($E$7*C41/12,2)+ROUNDDOWN($E$7*C41/12,2)*0.03)*Intro!$F$17*Intro!$F$19-(ROUNDDOWN($E$7*C41/12,2)+ROUNDDOWN($E$7*C41/12,2)*0.03)*Intro!$F$17*Intro!$F$21-(ROUNDDOWN($E$7*C41/12,2)+ROUNDDOWN($E$7*C41/12,2)*0.03-ROUNDDOWN($E$7*C41/12,2)*Intro!$F$7-ROUND($E$7*C41/12*0.03*0.05,2))*0.01-ROUND((($E$7*C41/12)*0.03)*0.05,2)</f>
        <v>1661.16915432</v>
      </c>
      <c r="E41" s="44">
        <f t="shared" si="2"/>
        <v>420</v>
      </c>
      <c r="F41" s="46">
        <f>ROUNDDOWN($E$7*E41/12,2)+ROUNDDOWN($E$7*E41/12,2)*0.03-ROUNDDOWN($E$7*E41/12,2)*Intro!$F$7-(ROUNDDOWN($E$7*E41/12,2)+ROUNDDOWN($E$7*E41/12,2)*0.03+ROUNDDOWN($F$46,2))*Intro!$F$17*Intro!$F$19-(ROUNDDOWN($E$7*E41/12,2)+ROUNDDOWN($E$7*E41/12,2)*0.03+ROUNDDOWN($F$46,2))*Intro!$F$17*Intro!$F$21-(ROUNDDOWN($E$7*E41/12,2)+ROUNDDOWN($E$7*E41/12,2)*0.03-ROUNDDOWN($E$7*E41/12,2)*Intro!$F$7-ROUND((($E$7*E41/12)*0.03+$F$46)*0.05,2))*0.01-ROUND((($E$7*E41/12)*0.03+$F$46)*0.05,2)</f>
        <v>1636.47147432</v>
      </c>
      <c r="G41" s="46">
        <f t="shared" si="0"/>
        <v>1829.27147432</v>
      </c>
      <c r="H41" s="44">
        <f t="shared" si="3"/>
        <v>420</v>
      </c>
      <c r="I41" s="46">
        <f>ROUNDDOWN($E$7*H41/12,2)+ROUNDDOWN($E$7*H41/12,2)*0.03-ROUNDDOWN($E$7*H41/12,2)*Intro!$F$7-(ROUNDDOWN($E$7*H41/12,2)+ROUNDDOWN($E$7*H41/12,2)*0.03+ROUNDDOWN($I$46,2))*Intro!$F$17*Intro!$F$19-(ROUNDDOWN($E$7*H41/12,2)+ROUNDDOWN($E$7*H41/12,2)*0.03+ROUNDDOWN($I$46,2))*Intro!$F$17*Intro!$F$21-(ROUNDDOWN($E$7*H41/12,2)+ROUNDDOWN($E$7*H41/12,2)*0.03-ROUNDDOWN($E$7*H41/12,2)*Intro!$F$7-ROUND((($E$7*H41/12)*0.03+$I$46)*0.05,2))*0.01-ROUND((($E$7*H41/12)*0.03+$I$46)*0.05,2)</f>
        <v>1630.2970543200001</v>
      </c>
      <c r="J41" s="46">
        <f t="shared" si="1"/>
        <v>1871.2970543200001</v>
      </c>
    </row>
    <row r="42" spans="2:10" ht="19.5" customHeight="1">
      <c r="B42" s="43">
        <v>9</v>
      </c>
      <c r="C42" s="44">
        <f>Indices!C13</f>
        <v>441</v>
      </c>
      <c r="D42" s="46">
        <f>ROUNDDOWN($E$7*C42/12,2)+ROUNDDOWN($E$7*C42/12,2)*0.03-ROUNDDOWN($E$7*C42/12,2)*Intro!$F$7-(ROUNDDOWN($E$7*C42/12,2)+ROUNDDOWN($E$7*C42/12,2)*0.03)*Intro!$F$17*Intro!$F$19-(ROUNDDOWN($E$7*C42/12,2)+ROUNDDOWN($E$7*C42/12,2)*0.03)*Intro!$F$17*Intro!$F$21-(ROUNDDOWN($E$7*C42/12,2)+ROUNDDOWN($E$7*C42/12,2)*0.03-ROUNDDOWN($E$7*C42/12,2)*Intro!$F$7-ROUND($E$7*C42/12*0.03*0.05,2))*0.01-ROUND((($E$7*C42/12)*0.03)*0.05,2)</f>
        <v>1744.2284179500004</v>
      </c>
      <c r="E42" s="44">
        <f t="shared" si="2"/>
        <v>441</v>
      </c>
      <c r="F42" s="46">
        <f>ROUNDDOWN($E$7*E42/12,2)+ROUNDDOWN($E$7*E42/12,2)*0.03-ROUNDDOWN($E$7*E42/12,2)*Intro!$F$7-(ROUNDDOWN($E$7*E42/12,2)+ROUNDDOWN($E$7*E42/12,2)*0.03+ROUNDDOWN($F$46,2))*Intro!$F$17*Intro!$F$19-(ROUNDDOWN($E$7*E42/12,2)+ROUNDDOWN($E$7*E42/12,2)*0.03+ROUNDDOWN($F$46,2))*Intro!$F$17*Intro!$F$21-(ROUNDDOWN($E$7*E42/12,2)+ROUNDDOWN($E$7*E42/12,2)*0.03-ROUNDDOWN($E$7*E42/12,2)*Intro!$F$7-ROUND((($E$7*E42/12)*0.03+$F$46)*0.05,2))*0.01-ROUND((($E$7*E42/12)*0.03+$F$46)*0.05,2)</f>
        <v>1719.5307379500002</v>
      </c>
      <c r="G42" s="46">
        <f t="shared" si="0"/>
        <v>1912.3307379500002</v>
      </c>
      <c r="H42" s="44">
        <f t="shared" si="3"/>
        <v>441</v>
      </c>
      <c r="I42" s="46">
        <f>ROUNDDOWN($E$7*H42/12,2)+ROUNDDOWN($E$7*H42/12,2)*0.03-ROUNDDOWN($E$7*H42/12,2)*Intro!$F$7-(ROUNDDOWN($E$7*H42/12,2)+ROUNDDOWN($E$7*H42/12,2)*0.03+ROUNDDOWN($I$46,2))*Intro!$F$17*Intro!$F$19-(ROUNDDOWN($E$7*H42/12,2)+ROUNDDOWN($E$7*H42/12,2)*0.03+ROUNDDOWN($I$46,2))*Intro!$F$17*Intro!$F$21-(ROUNDDOWN($E$7*H42/12,2)+ROUNDDOWN($E$7*H42/12,2)*0.03-ROUNDDOWN($E$7*H42/12,2)*Intro!$F$7-ROUND((($E$7*H42/12)*0.03+$I$46)*0.05,2))*0.01-ROUND((($E$7*H42/12)*0.03+$I$46)*0.05,2)</f>
        <v>1713.3563179500004</v>
      </c>
      <c r="J42" s="46">
        <f t="shared" si="1"/>
        <v>1954.3563179500004</v>
      </c>
    </row>
    <row r="43" spans="2:10" ht="19.5" customHeight="1">
      <c r="B43" s="43">
        <v>10</v>
      </c>
      <c r="C43" s="44">
        <f>Indices!C14</f>
        <v>469</v>
      </c>
      <c r="D43" s="46">
        <f>ROUNDDOWN($E$7*C43/12,2)+ROUNDDOWN($E$7*C43/12,2)*0.03-ROUNDDOWN($E$7*C43/12,2)*Intro!$F$7-(ROUNDDOWN($E$7*C43/12,2)+ROUNDDOWN($E$7*C43/12,2)*0.03)*Intro!$F$17*Intro!$F$19-(ROUNDDOWN($E$7*C43/12,2)+ROUNDDOWN($E$7*C43/12,2)*0.03)*Intro!$F$17*Intro!$F$21-(ROUNDDOWN($E$7*C43/12,2)+ROUNDDOWN($E$7*C43/12,2)*0.03-ROUNDDOWN($E$7*C43/12,2)*Intro!$F$7-ROUND($E$7*C43/12*0.03*0.05,2))*0.01-ROUND((($E$7*C43/12)*0.03)*0.05,2)</f>
        <v>1854.9694596</v>
      </c>
      <c r="E43" s="44">
        <f t="shared" si="2"/>
        <v>469</v>
      </c>
      <c r="F43" s="46">
        <f>ROUNDDOWN($E$7*E43/12,2)+ROUNDDOWN($E$7*E43/12,2)*0.03-ROUNDDOWN($E$7*E43/12,2)*Intro!$F$7-(ROUNDDOWN($E$7*E43/12,2)+ROUNDDOWN($E$7*E43/12,2)*0.03+ROUNDDOWN($F$46,2))*Intro!$F$17*Intro!$F$19-(ROUNDDOWN($E$7*E43/12,2)+ROUNDDOWN($E$7*E43/12,2)*0.03+ROUNDDOWN($F$46,2))*Intro!$F$17*Intro!$F$21-(ROUNDDOWN($E$7*E43/12,2)+ROUNDDOWN($E$7*E43/12,2)*0.03-ROUNDDOWN($E$7*E43/12,2)*Intro!$F$7-ROUND((($E$7*E43/12)*0.03+$F$46)*0.05,2))*0.01-ROUND((($E$7*E43/12)*0.03+$F$46)*0.05,2)</f>
        <v>1830.2717796</v>
      </c>
      <c r="G43" s="46">
        <f t="shared" si="0"/>
        <v>2023.0717796</v>
      </c>
      <c r="H43" s="44">
        <f t="shared" si="3"/>
        <v>469</v>
      </c>
      <c r="I43" s="46">
        <f>ROUNDDOWN($E$7*H43/12,2)+ROUNDDOWN($E$7*H43/12,2)*0.03-ROUNDDOWN($E$7*H43/12,2)*Intro!$F$7-(ROUNDDOWN($E$7*H43/12,2)+ROUNDDOWN($E$7*H43/12,2)*0.03+ROUNDDOWN($I$46,2))*Intro!$F$17*Intro!$F$19-(ROUNDDOWN($E$7*H43/12,2)+ROUNDDOWN($E$7*H43/12,2)*0.03+ROUNDDOWN($I$46,2))*Intro!$F$17*Intro!$F$21-(ROUNDDOWN($E$7*H43/12,2)+ROUNDDOWN($E$7*H43/12,2)*0.03-ROUNDDOWN($E$7*H43/12,2)*Intro!$F$7-ROUND((($E$7*H43/12)*0.03+$I$46)*0.05,2))*0.01-ROUND((($E$7*H43/12)*0.03+$I$46)*0.05,2)</f>
        <v>1824.0973596000001</v>
      </c>
      <c r="J43" s="46">
        <f t="shared" si="1"/>
        <v>2065.0973596000003</v>
      </c>
    </row>
    <row r="44" spans="2:10" ht="19.5" customHeight="1" thickBot="1">
      <c r="B44" s="48">
        <v>11</v>
      </c>
      <c r="C44" s="49">
        <f>Indices!C15</f>
        <v>515</v>
      </c>
      <c r="D44" s="51">
        <f>ROUNDDOWN($E$7*C44/12,2)+ROUNDDOWN($E$7*C44/12,2)*0.03-ROUNDDOWN($E$7*C44/12,2)*Intro!$F$7-(ROUNDDOWN($E$7*C44/12,2)+ROUNDDOWN($E$7*C44/12,2)*0.03)*Intro!$F$17*Intro!$F$19-(ROUNDDOWN($E$7*C44/12,2)+ROUNDDOWN($E$7*C44/12,2)*0.03)*Intro!$F$17*Intro!$F$21-(ROUNDDOWN($E$7*C44/12,2)+ROUNDDOWN($E$7*C44/12,2)*0.03-ROUNDDOWN($E$7*C44/12,2)*Intro!$F$7-ROUND($E$7*C44/12*0.03*0.05,2))*0.01-ROUND((($E$7*C44/12)*0.03)*0.05,2)</f>
        <v>2036.9127126000003</v>
      </c>
      <c r="E44" s="49">
        <f t="shared" si="2"/>
        <v>515</v>
      </c>
      <c r="F44" s="51">
        <f>ROUNDDOWN($E$7*E44/12,2)+ROUNDDOWN($E$7*E44/12,2)*0.03-ROUNDDOWN($E$7*E44/12,2)*Intro!$F$7-(ROUNDDOWN($E$7*E44/12,2)+ROUNDDOWN($E$7*E44/12,2)*0.03+ROUNDDOWN($F$46,2))*Intro!$F$17*Intro!$F$19-(ROUNDDOWN($E$7*E44/12,2)+ROUNDDOWN($E$7*E44/12,2)*0.03+ROUNDDOWN($F$46,2))*Intro!$F$17*Intro!$F$21-(ROUNDDOWN($E$7*E44/12,2)+ROUNDDOWN($E$7*E44/12,2)*0.03-ROUNDDOWN($E$7*E44/12,2)*Intro!$F$7-ROUND((($E$7*E44/12)*0.03+$F$46)*0.05,2))*0.01-ROUND((($E$7*E44/12)*0.03+$F$46)*0.05,2)</f>
        <v>2012.2150325999999</v>
      </c>
      <c r="G44" s="51">
        <f t="shared" si="0"/>
        <v>2205.0150326</v>
      </c>
      <c r="H44" s="49">
        <f t="shared" si="3"/>
        <v>515</v>
      </c>
      <c r="I44" s="51">
        <f>ROUNDDOWN($E$7*H44/12,2)+ROUNDDOWN($E$7*H44/12,2)*0.03-ROUNDDOWN($E$7*H44/12,2)*Intro!$F$7-(ROUNDDOWN($E$7*H44/12,2)+ROUNDDOWN($E$7*H44/12,2)*0.03+ROUNDDOWN($I$46,2))*Intro!$F$17*Intro!$F$19-(ROUNDDOWN($E$7*H44/12,2)+ROUNDDOWN($E$7*H44/12,2)*0.03+ROUNDDOWN($I$46,2))*Intro!$F$17*Intro!$F$21-(ROUNDDOWN($E$7*H44/12,2)+ROUNDDOWN($E$7*H44/12,2)*0.03-ROUNDDOWN($E$7*H44/12,2)*Intro!$F$7-ROUND((($E$7*H44/12)*0.03+$I$46)*0.05,2))*0.01-ROUND((($E$7*H44/12)*0.03+$I$46)*0.05,2)</f>
        <v>2006.0406126</v>
      </c>
      <c r="J44" s="51">
        <f t="shared" si="1"/>
        <v>2247.0406126</v>
      </c>
    </row>
    <row r="45" spans="3:11" ht="19.5" customHeight="1" thickBot="1" thickTop="1">
      <c r="C45" s="53"/>
      <c r="D45" s="53"/>
      <c r="E45" s="53"/>
      <c r="F45" s="196" t="s">
        <v>10</v>
      </c>
      <c r="G45" s="196"/>
      <c r="H45" s="196"/>
      <c r="I45" s="196"/>
      <c r="J45" s="196"/>
      <c r="K45" s="87"/>
    </row>
    <row r="46" spans="1:12" ht="16.5" thickBot="1" thickTop="1">
      <c r="A46" s="56"/>
      <c r="B46" s="56"/>
      <c r="C46" s="90" t="s">
        <v>42</v>
      </c>
      <c r="D46" s="92">
        <f>Intro!H4</f>
        <v>39082</v>
      </c>
      <c r="E46" s="56"/>
      <c r="F46" s="189">
        <f>Intro!C4</f>
        <v>192.8</v>
      </c>
      <c r="G46" s="190"/>
      <c r="H46" s="91"/>
      <c r="I46" s="189">
        <f>Intro!F4</f>
        <v>241</v>
      </c>
      <c r="J46" s="190"/>
      <c r="K46" s="56"/>
      <c r="L46" s="56"/>
    </row>
    <row r="47" spans="3:5" ht="15" thickTop="1">
      <c r="C47" s="63"/>
      <c r="D47" s="63"/>
      <c r="E47" s="63"/>
    </row>
    <row r="48" spans="3:5" ht="14.25">
      <c r="C48" s="63"/>
      <c r="D48" s="63"/>
      <c r="E48" s="63"/>
    </row>
    <row r="49" spans="3:5" ht="14.25">
      <c r="C49" s="28"/>
      <c r="D49" s="28"/>
      <c r="E49" s="28"/>
    </row>
  </sheetData>
  <sheetProtection sheet="1"/>
  <mergeCells count="33">
    <mergeCell ref="I46:J46"/>
    <mergeCell ref="F45:J45"/>
    <mergeCell ref="F32:G32"/>
    <mergeCell ref="I32:J32"/>
    <mergeCell ref="E32:E33"/>
    <mergeCell ref="H32:H33"/>
    <mergeCell ref="C32:C33"/>
    <mergeCell ref="C31:D31"/>
    <mergeCell ref="E31:G31"/>
    <mergeCell ref="E17:G18"/>
    <mergeCell ref="D13:D14"/>
    <mergeCell ref="F46:G46"/>
    <mergeCell ref="C15:F16"/>
    <mergeCell ref="G19:G20"/>
    <mergeCell ref="B2:C2"/>
    <mergeCell ref="E7:F7"/>
    <mergeCell ref="E8:F8"/>
    <mergeCell ref="E9:F9"/>
    <mergeCell ref="B4:I5"/>
    <mergeCell ref="H7:K9"/>
    <mergeCell ref="H31:J31"/>
    <mergeCell ref="C12:D12"/>
    <mergeCell ref="D32:D33"/>
    <mergeCell ref="B32:B33"/>
    <mergeCell ref="C30:J30"/>
    <mergeCell ref="J4:K4"/>
    <mergeCell ref="J5:K5"/>
    <mergeCell ref="H25:K26"/>
    <mergeCell ref="B13:B14"/>
    <mergeCell ref="E19:E20"/>
    <mergeCell ref="C13:C14"/>
    <mergeCell ref="F19:F20"/>
    <mergeCell ref="H21:K22"/>
  </mergeCells>
  <conditionalFormatting sqref="B34:J44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1.4173228346456694" footer="0"/>
  <pageSetup fitToHeight="1" fitToWidth="1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showGridLines="0" zoomScale="85" zoomScaleNormal="85" zoomScaleSheetLayoutView="100" zoomScalePageLayoutView="0" workbookViewId="0" topLeftCell="A1">
      <selection activeCell="M12" sqref="M12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10" width="11.0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08" t="s">
        <v>38</v>
      </c>
      <c r="C4" s="209"/>
      <c r="D4" s="209"/>
      <c r="E4" s="209"/>
      <c r="F4" s="209"/>
      <c r="G4" s="209"/>
      <c r="H4" s="210"/>
      <c r="I4" s="215" t="s">
        <v>59</v>
      </c>
      <c r="J4" s="216"/>
    </row>
    <row r="5" spans="2:10" s="24" customFormat="1" ht="36" customHeight="1" thickBot="1">
      <c r="B5" s="211"/>
      <c r="C5" s="212"/>
      <c r="D5" s="212"/>
      <c r="E5" s="212"/>
      <c r="F5" s="212"/>
      <c r="G5" s="212"/>
      <c r="H5" s="213"/>
      <c r="I5" s="217">
        <f>Intro!H2</f>
        <v>39478</v>
      </c>
      <c r="J5" s="218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0" s="28" customFormat="1" ht="18" customHeight="1">
      <c r="B7" s="27"/>
      <c r="D7" s="29" t="s">
        <v>4</v>
      </c>
      <c r="E7" s="174">
        <f>Intro!F2</f>
        <v>55.5635</v>
      </c>
      <c r="F7" s="175"/>
      <c r="G7" s="30"/>
      <c r="H7" s="181" t="s">
        <v>32</v>
      </c>
      <c r="I7" s="181"/>
      <c r="J7" s="181"/>
    </row>
    <row r="8" spans="2:10" s="28" customFormat="1" ht="18" customHeight="1">
      <c r="B8" s="27"/>
      <c r="D8" s="29" t="s">
        <v>2</v>
      </c>
      <c r="E8" s="176">
        <f>ROUNDDOWN(E7/12,2)</f>
        <v>4.63</v>
      </c>
      <c r="F8" s="176"/>
      <c r="G8" s="30"/>
      <c r="H8" s="181"/>
      <c r="I8" s="181"/>
      <c r="J8" s="181"/>
    </row>
    <row r="9" spans="2:13" s="28" customFormat="1" ht="18" customHeight="1">
      <c r="B9" s="27"/>
      <c r="D9" s="29" t="s">
        <v>3</v>
      </c>
      <c r="E9" s="176">
        <f>ROUNDDOWN($E$7/12,2)+ROUNDDOWN($E$7/12,2)*0.01-ROUNDDOWN($E$7/12,2)*Intro!$F$7-(ROUNDDOWN($E$7/12,2)+ROUNDDOWN($E$7/12,2)*0.01)*Intro!$F$17*Intro!$F$19-(ROUNDDOWN($E$7/12,2)+ROUNDDOWN($E$7/12,2)*0.01)*Intro!$F$17*Intro!$F$21-(ROUNDDOWN($E$7/12,2)+ROUNDDOWN($E$7/12,2)*0.01-ROUNDDOWN($E$7/12,2)*Intro!$F$7-ROUNDDOWN($E$7/12,2)*0.01*0.05)*0.01</f>
        <v>3.8774305399999998</v>
      </c>
      <c r="F9" s="176"/>
      <c r="G9" s="30"/>
      <c r="H9" s="181"/>
      <c r="I9" s="181"/>
      <c r="J9" s="181"/>
      <c r="M9" s="26"/>
    </row>
    <row r="10" spans="2:7" s="28" customFormat="1" ht="18" customHeight="1">
      <c r="B10" s="27"/>
      <c r="D10" s="77" t="s">
        <v>11</v>
      </c>
      <c r="E10" s="76"/>
      <c r="F10" s="76"/>
      <c r="G10" s="30"/>
    </row>
    <row r="11" spans="2:7" s="28" customFormat="1" ht="30" customHeight="1" thickBot="1">
      <c r="B11" s="27"/>
      <c r="D11" s="77"/>
      <c r="E11" s="76"/>
      <c r="F11" s="76"/>
      <c r="G11" s="30"/>
    </row>
    <row r="12" spans="3:12" ht="19.5" customHeight="1" thickBot="1" thickTop="1">
      <c r="C12" s="156" t="s">
        <v>17</v>
      </c>
      <c r="D12" s="158"/>
      <c r="E12" s="55"/>
      <c r="H12" s="56"/>
      <c r="K12" s="78"/>
      <c r="L12" s="78"/>
    </row>
    <row r="13" spans="2:13" s="28" customFormat="1" ht="19.5" customHeight="1" thickTop="1">
      <c r="B13" s="154" t="s">
        <v>13</v>
      </c>
      <c r="C13" s="167" t="s">
        <v>14</v>
      </c>
      <c r="D13" s="171" t="s">
        <v>15</v>
      </c>
      <c r="H13" s="62"/>
      <c r="K13" s="79"/>
      <c r="L13" s="79"/>
      <c r="M13" s="79"/>
    </row>
    <row r="14" spans="2:4" s="63" customFormat="1" ht="19.5" customHeight="1" thickBot="1">
      <c r="B14" s="155"/>
      <c r="C14" s="204"/>
      <c r="D14" s="207"/>
    </row>
    <row r="15" spans="2:13" s="63" customFormat="1" ht="19.5" customHeight="1" thickTop="1">
      <c r="B15" s="97">
        <v>1</v>
      </c>
      <c r="C15" s="191" t="s">
        <v>51</v>
      </c>
      <c r="D15" s="191"/>
      <c r="E15" s="191"/>
      <c r="F15" s="192"/>
      <c r="K15" s="79"/>
      <c r="L15" s="79"/>
      <c r="M15" s="79"/>
    </row>
    <row r="16" spans="2:6" s="63" customFormat="1" ht="19.5" customHeight="1" thickBot="1">
      <c r="B16" s="98">
        <v>2</v>
      </c>
      <c r="C16" s="193"/>
      <c r="D16" s="193"/>
      <c r="E16" s="194"/>
      <c r="F16" s="195"/>
    </row>
    <row r="17" spans="2:11" s="28" customFormat="1" ht="19.5" customHeight="1" thickTop="1">
      <c r="B17" s="43">
        <v>3</v>
      </c>
      <c r="C17" s="38">
        <f>Indices!F7</f>
        <v>432</v>
      </c>
      <c r="D17" s="96">
        <f>ROUNDDOWN($E$7*C17/12,2)+ROUNDDOWN($E$7*C17/12,2)*0.01-ROUNDDOWN($E$7*C17/12,2)*Intro!$F$7-(ROUNDDOWN($E$7*C17/12,2)+ROUNDDOWN($E$7*C17/12,2)*0.01)*Intro!$F$17*Intro!$F$19-(ROUNDDOWN($E$7*C17/12,2)+ROUNDDOWN($E$7*C17/12,2)*0.01)*Intro!$F$17*Intro!$F$21-(ROUNDDOWN($E$7*C17/12,2)+ROUNDDOWN($E$7*C17/12,2)*0.01-ROUNDDOWN($E$7*C17/12,2)*Intro!$F$7-ROUND($E$7*C17/12*0.01*0.05,2))*0.01-ROUND((($E$7*C17/12)*0.01)*0.05,2)</f>
        <v>1674.15048684</v>
      </c>
      <c r="E17" s="205" t="s">
        <v>40</v>
      </c>
      <c r="F17" s="185"/>
      <c r="G17" s="186"/>
      <c r="H17" s="66" t="s">
        <v>16</v>
      </c>
      <c r="I17" s="84"/>
      <c r="J17" s="84"/>
      <c r="K17" s="84"/>
    </row>
    <row r="18" spans="2:11" ht="19.5" customHeight="1" thickBot="1">
      <c r="B18" s="43">
        <v>4</v>
      </c>
      <c r="C18" s="44">
        <f>Indices!F8</f>
        <v>445</v>
      </c>
      <c r="D18" s="65">
        <f>ROUNDDOWN($E$7*C18/12,2)+ROUNDDOWN($E$7*C18/12,2)*0.01-ROUNDDOWN($E$7*C18/12,2)*Intro!$F$7-(ROUNDDOWN($E$7*C18/12,2)+ROUNDDOWN($E$7*C18/12,2)*0.01)*Intro!$F$17*Intro!$F$19-(ROUNDDOWN($E$7*C18/12,2)+ROUNDDOWN($E$7*C18/12,2)*0.01)*Intro!$F$17*Intro!$F$21-(ROUNDDOWN($E$7*C18/12,2)+ROUNDDOWN($E$7*C18/12,2)*0.01-ROUNDDOWN($E$7*C18/12,2)*Intro!$F$7-ROUND($E$7*C18/12*0.01*0.05,2))*0.01-ROUND((($E$7*C18/12)*0.01)*0.05,2)</f>
        <v>1724.5270829099998</v>
      </c>
      <c r="E18" s="206"/>
      <c r="F18" s="187"/>
      <c r="G18" s="188"/>
      <c r="H18" s="85" t="str">
        <f>"Retraite "&amp;Intro!F7*100&amp;" % du traitement brut"</f>
        <v>Retraite 8,39 % du traitement brut</v>
      </c>
      <c r="I18" s="71"/>
      <c r="J18" s="71"/>
      <c r="K18" s="71"/>
    </row>
    <row r="19" spans="2:11" ht="19.5" customHeight="1" thickTop="1">
      <c r="B19" s="43">
        <v>5</v>
      </c>
      <c r="C19" s="44">
        <f>Indices!F9</f>
        <v>458</v>
      </c>
      <c r="D19" s="65">
        <f>ROUNDDOWN($E$7*C19/12,2)+ROUNDDOWN($E$7*C19/12,2)*0.01-ROUNDDOWN($E$7*C19/12,2)*Intro!$F$7-(ROUNDDOWN($E$7*C19/12,2)+ROUNDDOWN($E$7*C19/12,2)*0.01)*Intro!$F$17*Intro!$F$19-(ROUNDDOWN($E$7*C19/12,2)+ROUNDDOWN($E$7*C19/12,2)*0.01)*Intro!$F$17*Intro!$F$21-(ROUNDDOWN($E$7*C19/12,2)+ROUNDDOWN($E$7*C19/12,2)*0.01-ROUNDDOWN($E$7*C19/12,2)*Intro!$F$7-ROUND($E$7*C19/12*0.01*0.05,2))*0.01-ROUND((($E$7*C19/12)*0.01)*0.05,2)</f>
        <v>1774.9120535100003</v>
      </c>
      <c r="E19" s="165" t="s">
        <v>13</v>
      </c>
      <c r="F19" s="169" t="s">
        <v>14</v>
      </c>
      <c r="G19" s="171" t="s">
        <v>15</v>
      </c>
      <c r="H19" s="163" t="s">
        <v>44</v>
      </c>
      <c r="I19" s="164"/>
      <c r="J19" s="164"/>
      <c r="K19" s="164"/>
    </row>
    <row r="20" spans="2:11" ht="19.5" customHeight="1" thickBot="1">
      <c r="B20" s="43">
        <v>6</v>
      </c>
      <c r="C20" s="44">
        <f>Indices!F10</f>
        <v>467</v>
      </c>
      <c r="D20" s="65">
        <f>ROUNDDOWN($E$7*C20/12,2)+ROUNDDOWN($E$7*C20/12,2)*0.01-ROUNDDOWN($E$7*C20/12,2)*Intro!$F$7-(ROUNDDOWN($E$7*C20/12,2)+ROUNDDOWN($E$7*C20/12,2)*0.01)*Intro!$F$17*Intro!$F$19-(ROUNDDOWN($E$7*C20/12,2)+ROUNDDOWN($E$7*C20/12,2)*0.01)*Intro!$F$17*Intro!$F$21-(ROUNDDOWN($E$7*C20/12,2)+ROUNDDOWN($E$7*C20/12,2)*0.01-ROUNDDOWN($E$7*C20/12,2)*Intro!$F$7-ROUND($E$7*C20/12*0.01*0.05,2))*0.01-ROUND((($E$7*C20/12)*0.01)*0.05,2)</f>
        <v>1809.7889200200002</v>
      </c>
      <c r="E20" s="166"/>
      <c r="F20" s="170"/>
      <c r="G20" s="172"/>
      <c r="H20" s="163"/>
      <c r="I20" s="164"/>
      <c r="J20" s="164"/>
      <c r="K20" s="164"/>
    </row>
    <row r="21" spans="2:11" ht="19.5" customHeight="1" thickTop="1">
      <c r="B21" s="43">
        <v>7</v>
      </c>
      <c r="C21" s="44">
        <f>Indices!F11</f>
        <v>495</v>
      </c>
      <c r="D21" s="65">
        <f>ROUNDDOWN($E$7*C21/12,2)+ROUNDDOWN($E$7*C21/12,2)*0.01-ROUNDDOWN($E$7*C21/12,2)*Intro!$F$7-(ROUNDDOWN($E$7*C21/12,2)+ROUNDDOWN($E$7*C21/12,2)*0.01)*Intro!$F$17*Intro!$F$19-(ROUNDDOWN($E$7*C21/12,2)+ROUNDDOWN($E$7*C21/12,2)*0.01)*Intro!$F$17*Intro!$F$21-(ROUNDDOWN($E$7*C21/12,2)+ROUNDDOWN($E$7*C21/12,2)*0.01-ROUNDDOWN($E$7*C21/12,2)*Intro!$F$7-ROUND($E$7*C21/12*0.01*0.05,2))*0.01-ROUND((($E$7*C21/12)*0.01)*0.05,2)</f>
        <v>1918.2954014699994</v>
      </c>
      <c r="E21" s="67">
        <v>1</v>
      </c>
      <c r="F21" s="68">
        <f>Indices!I5</f>
        <v>495</v>
      </c>
      <c r="G21" s="64">
        <f>ROUNDDOWN($E$7*F21/12,2)+ROUNDDOWN($E$7*F21/12,2)*0.01-ROUNDDOWN($E$7*F21/12,2)*Intro!$F$7-(ROUNDDOWN($E$7*F21/12,2)+ROUNDDOWN($E$7*F21/12,2)*0.01)*Intro!$F$17*Intro!$F$19-(ROUNDDOWN($E$7*F21/12,2)+ROUNDDOWN($E$7*F21/12,2)*0.01)*Intro!$F$17*Intro!$F$21-(ROUNDDOWN($E$7*F21/12,2)+ROUNDDOWN($E$7*F21/12,2)*0.01-ROUNDDOWN($E$7*F21/12,2)*Intro!$F$7-ROUND($E$7*F21/12*0.01*0.05,2))*0.01-ROUND((($E$7*F21/12)*0.01)*0.05,2)</f>
        <v>1918.2954014699994</v>
      </c>
      <c r="H21" s="85" t="str">
        <f>"CRDS "&amp;Intro!F21*100&amp;"% (sur "&amp;Intro!F17*100&amp;"% de tous les revenus, dont IRL)"</f>
        <v>CRDS 0,5% (sur 98,25% de tous les revenus, dont IRL)</v>
      </c>
      <c r="I21" s="86"/>
      <c r="J21" s="86"/>
      <c r="K21" s="71"/>
    </row>
    <row r="22" spans="2:11" ht="19.5" customHeight="1">
      <c r="B22" s="43">
        <v>8</v>
      </c>
      <c r="C22" s="44">
        <f>Indices!F12</f>
        <v>531</v>
      </c>
      <c r="D22" s="65">
        <f>ROUNDDOWN($E$7*C22/12,2)+ROUNDDOWN($E$7*C22/12,2)*0.01-ROUNDDOWN($E$7*C22/12,2)*Intro!$F$7-(ROUNDDOWN($E$7*C22/12,2)+ROUNDDOWN($E$7*C22/12,2)*0.01)*Intro!$F$17*Intro!$F$19-(ROUNDDOWN($E$7*C22/12,2)+ROUNDDOWN($E$7*C22/12,2)*0.01)*Intro!$F$17*Intro!$F$21-(ROUNDDOWN($E$7*C22/12,2)+ROUNDDOWN($E$7*C22/12,2)*0.01-ROUNDDOWN($E$7*C22/12,2)*Intro!$F$7-ROUND($E$7*C22/12*0.01*0.05,2))*0.01-ROUND((($E$7*C22/12)*0.01)*0.05,2)</f>
        <v>2057.8112420399993</v>
      </c>
      <c r="E22" s="69">
        <v>2</v>
      </c>
      <c r="F22" s="70">
        <f>Indices!I6</f>
        <v>560</v>
      </c>
      <c r="G22" s="65">
        <f>ROUNDDOWN($E$7*F22/12,2)+ROUNDDOWN($E$7*F22/12,2)*0.01-ROUNDDOWN($E$7*F22/12,2)*Intro!$F$7-(ROUNDDOWN($E$7*F22/12,2)+ROUNDDOWN($E$7*F22/12,2)*0.01)*Intro!$F$17*Intro!$F$19-(ROUNDDOWN($E$7*F22/12,2)+ROUNDDOWN($E$7*F22/12,2)*0.01)*Intro!$F$17*Intro!$F$21-(ROUNDDOWN($E$7*F22/12,2)+ROUNDDOWN($E$7*F22/12,2)*0.01-ROUNDDOWN($E$7*F22/12,2)*Intro!$F$7-ROUND($E$7*F22/12*0.01*0.05,2))*0.01-ROUND((($E$7*F22/12)*0.01)*0.05,2)</f>
        <v>2170.1951308799994</v>
      </c>
      <c r="H22" s="85" t="str">
        <f>"CSG "&amp;Intro!F19*100&amp;"% (sur "&amp;Intro!F17*100&amp;"% de tous les revenus, dont IRL)"</f>
        <v>CSG 7,5% (sur 98,25% de tous les revenus, dont IRL)</v>
      </c>
      <c r="I22" s="71"/>
      <c r="J22" s="71"/>
      <c r="K22" s="71"/>
    </row>
    <row r="23" spans="2:11" ht="19.5" customHeight="1">
      <c r="B23" s="43">
        <v>9</v>
      </c>
      <c r="C23" s="44">
        <f>Indices!F13</f>
        <v>567</v>
      </c>
      <c r="D23" s="65">
        <f>ROUNDDOWN($E$7*C23/12,2)+ROUNDDOWN($E$7*C23/12,2)*0.01-ROUNDDOWN($E$7*C23/12,2)*Intro!$F$7-(ROUNDDOWN($E$7*C23/12,2)+ROUNDDOWN($E$7*C23/12,2)*0.01)*Intro!$F$17*Intro!$F$19-(ROUNDDOWN($E$7*C23/12,2)+ROUNDDOWN($E$7*C23/12,2)*0.01)*Intro!$F$17*Intro!$F$21-(ROUNDDOWN($E$7*C23/12,2)+ROUNDDOWN($E$7*C23/12,2)*0.01-ROUNDDOWN($E$7*C23/12,2)*Intro!$F$7-ROUND($E$7*C23/12*0.01*0.05,2))*0.01-ROUND((($E$7*C23/12)*0.01)*0.05,2)</f>
        <v>2197.32708261</v>
      </c>
      <c r="E23" s="69">
        <v>3</v>
      </c>
      <c r="F23" s="70">
        <f>Indices!I7</f>
        <v>601</v>
      </c>
      <c r="G23" s="65">
        <f>ROUNDDOWN($E$7*F23/12,2)+ROUNDDOWN($E$7*F23/12,2)*0.01-ROUNDDOWN($E$7*F23/12,2)*Intro!$F$7-(ROUNDDOWN($E$7*F23/12,2)+ROUNDDOWN($E$7*F23/12,2)*0.01)*Intro!$F$17*Intro!$F$19-(ROUNDDOWN($E$7*F23/12,2)+ROUNDDOWN($E$7*F23/12,2)*0.01)*Intro!$F$17*Intro!$F$21-(ROUNDDOWN($E$7*F23/12,2)+ROUNDDOWN($E$7*F23/12,2)*0.01-ROUNDDOWN($E$7*F23/12,2)*Intro!$F$7-ROUND($E$7*F23/12*0.01*0.05,2))*0.01-ROUND((($E$7*F23/12)*0.01)*0.05,2)</f>
        <v>2329.0881084000007</v>
      </c>
      <c r="H23" s="163" t="s">
        <v>41</v>
      </c>
      <c r="I23" s="164"/>
      <c r="J23" s="164"/>
      <c r="K23" s="164"/>
    </row>
    <row r="24" spans="2:11" ht="19.5" customHeight="1">
      <c r="B24" s="43">
        <v>10</v>
      </c>
      <c r="C24" s="44">
        <f>Indices!F14</f>
        <v>612</v>
      </c>
      <c r="D24" s="65">
        <f>ROUNDDOWN($E$7*C24/12,2)+ROUNDDOWN($E$7*C24/12,2)*0.01-ROUNDDOWN($E$7*C24/12,2)*Intro!$F$7-(ROUNDDOWN($E$7*C24/12,2)+ROUNDDOWN($E$7*C24/12,2)*0.01)*Intro!$F$17*Intro!$F$19-(ROUNDDOWN($E$7*C24/12,2)+ROUNDDOWN($E$7*C24/12,2)*0.01)*Intro!$F$17*Intro!$F$21-(ROUNDDOWN($E$7*C24/12,2)+ROUNDDOWN($E$7*C24/12,2)*0.01-ROUNDDOWN($E$7*C24/12,2)*Intro!$F$7-ROUND($E$7*C24/12*0.01*0.05,2))*0.01-ROUND((($E$7*C24/12)*0.01)*0.05,2)</f>
        <v>2371.70988969</v>
      </c>
      <c r="E24" s="69">
        <v>4</v>
      </c>
      <c r="F24" s="70">
        <f>Indices!I8</f>
        <v>642</v>
      </c>
      <c r="G24" s="65">
        <f>ROUNDDOWN($E$7*F24/12,2)+ROUNDDOWN($E$7*F24/12,2)*0.01-ROUNDDOWN($E$7*F24/12,2)*Intro!$F$7-(ROUNDDOWN($E$7*F24/12,2)+ROUNDDOWN($E$7*F24/12,2)*0.01)*Intro!$F$17*Intro!$F$19-(ROUNDDOWN($E$7*F24/12,2)+ROUNDDOWN($E$7*F24/12,2)*0.01)*Intro!$F$17*Intro!$F$21-(ROUNDDOWN($E$7*F24/12,2)+ROUNDDOWN($E$7*F24/12,2)*0.01-ROUNDDOWN($E$7*F24/12,2)*Intro!$F$7-ROUND($E$7*F24/12*0.01*0.05,2))*0.01-ROUND((($E$7*F24/12)*0.01)*0.05,2)</f>
        <v>2487.97118592</v>
      </c>
      <c r="H24" s="163"/>
      <c r="I24" s="164"/>
      <c r="J24" s="164"/>
      <c r="K24" s="164"/>
    </row>
    <row r="25" spans="2:8" ht="19.5" customHeight="1" thickBot="1">
      <c r="B25" s="48">
        <v>11</v>
      </c>
      <c r="C25" s="49">
        <f>Indices!F15</f>
        <v>658</v>
      </c>
      <c r="D25" s="72">
        <f>ROUNDDOWN($E$7*C25/12,2)+ROUNDDOWN($E$7*C25/12,2)*0.01-ROUNDDOWN($E$7*C25/12,2)*Intro!$F$7-(ROUNDDOWN($E$7*C25/12,2)+ROUNDDOWN($E$7*C25/12,2)*0.01)*Intro!$F$17*Intro!$F$19-(ROUNDDOWN($E$7*C25/12,2)+ROUNDDOWN($E$7*C25/12,2)*0.01)*Intro!$F$17*Intro!$F$21-(ROUNDDOWN($E$7*C25/12,2)+ROUNDDOWN($E$7*C25/12,2)*0.01-ROUNDDOWN($E$7*C25/12,2)*Intro!$F$7-ROUND($E$7*C25/12*0.01*0.05,2))*0.01-ROUND((($E$7*C25/12)*0.01)*0.05,2)</f>
        <v>2549.9883786899995</v>
      </c>
      <c r="E25" s="69">
        <v>5</v>
      </c>
      <c r="F25" s="70">
        <f>Indices!I9</f>
        <v>695</v>
      </c>
      <c r="G25" s="65">
        <f>ROUNDDOWN($E$7*F25/12,2)+ROUNDDOWN($E$7*F25/12,2)*0.01-ROUNDDOWN($E$7*F25/12,2)*Intro!$F$7-(ROUNDDOWN($E$7*F25/12,2)+ROUNDDOWN($E$7*F25/12,2)*0.01)*Intro!$F$17*Intro!$F$19-(ROUNDDOWN($E$7*F25/12,2)+ROUNDDOWN($E$7*F25/12,2)*0.01)*Intro!$F$17*Intro!$F$21-(ROUNDDOWN($E$7*F25/12,2)+ROUNDDOWN($E$7*F25/12,2)*0.01-ROUNDDOWN($E$7*F25/12,2)*Intro!$F$7-ROUND($E$7*F25/12*0.01*0.05,2))*0.01-ROUND((($E$7*F25/12)*0.01)*0.05,2)</f>
        <v>2693.37172665</v>
      </c>
      <c r="H25" s="80"/>
    </row>
    <row r="26" spans="5:8" ht="19.5" customHeight="1" thickTop="1">
      <c r="E26" s="43">
        <v>6</v>
      </c>
      <c r="F26" s="70">
        <f>Indices!I10</f>
        <v>741</v>
      </c>
      <c r="G26" s="65">
        <f>ROUNDDOWN($E$7*F26/12,2)+ROUNDDOWN($E$7*F26/12,2)*0.01-ROUNDDOWN($E$7*F26/12,2)*Intro!$F$7-(ROUNDDOWN($E$7*F26/12,2)+ROUNDDOWN($E$7*F26/12,2)*0.01)*Intro!$F$17*Intro!$F$19-(ROUNDDOWN($E$7*F26/12,2)+ROUNDDOWN($E$7*F26/12,2)*0.01)*Intro!$F$17*Intro!$F$21-(ROUNDDOWN($E$7*F26/12,2)+ROUNDDOWN($E$7*F26/12,2)*0.01-ROUNDDOWN($E$7*F26/12,2)*Intro!$F$7-ROUND($E$7*F26/12*0.01*0.05,2))*0.01-ROUND((($E$7*F26/12)*0.01)*0.05,2)</f>
        <v>2871.63194112</v>
      </c>
      <c r="H26" s="82"/>
    </row>
    <row r="27" spans="3:8" ht="19.5" customHeight="1" thickBot="1">
      <c r="C27" s="28"/>
      <c r="D27" s="28"/>
      <c r="E27" s="48">
        <v>7</v>
      </c>
      <c r="F27" s="73">
        <f>Indices!I11</f>
        <v>783</v>
      </c>
      <c r="G27" s="72">
        <f>ROUNDDOWN($E$7*F27/12,2)+ROUNDDOWN($E$7*F27/12,2)*0.01-ROUNDDOWN($E$7*F27/12,2)*Intro!$F$7-(ROUNDDOWN($E$7*F27/12,2)+ROUNDDOWN($E$7*F27/12,2)*0.01)*Intro!$F$17*Intro!$F$19-(ROUNDDOWN($E$7*F27/12,2)+ROUNDDOWN($E$7*F27/12,2)*0.01)*Intro!$F$17*Intro!$F$21-(ROUNDDOWN($E$7*F27/12,2)+ROUNDDOWN($E$7*F27/12,2)*0.01-ROUNDDOWN($E$7*F27/12,2)*Intro!$F$7-ROUND($E$7*F27/12*0.01*0.05,2))*0.01-ROUND((($E$7*F27/12)*0.01)*0.05,2)</f>
        <v>3034.4023260300005</v>
      </c>
      <c r="H27" s="83"/>
    </row>
    <row r="28" spans="3:4" ht="15" thickTop="1">
      <c r="C28" s="63"/>
      <c r="D28" s="63"/>
    </row>
    <row r="29" spans="2:7" s="28" customFormat="1" ht="18" customHeight="1">
      <c r="B29" s="27"/>
      <c r="D29" s="77"/>
      <c r="E29" s="76"/>
      <c r="F29" s="76"/>
      <c r="G29" s="30"/>
    </row>
    <row r="30" s="28" customFormat="1" ht="22.5" customHeight="1" thickBot="1">
      <c r="J30" s="31" t="s">
        <v>37</v>
      </c>
    </row>
    <row r="31" spans="2:10" s="33" customFormat="1" ht="19.5" customHeight="1" thickBot="1" thickTop="1">
      <c r="B31" s="32"/>
      <c r="C31" s="156" t="s">
        <v>12</v>
      </c>
      <c r="D31" s="157"/>
      <c r="E31" s="157"/>
      <c r="F31" s="157"/>
      <c r="G31" s="157"/>
      <c r="H31" s="157"/>
      <c r="I31" s="157"/>
      <c r="J31" s="158"/>
    </row>
    <row r="32" spans="2:10" s="33" customFormat="1" ht="19.5" customHeight="1" thickBot="1" thickTop="1">
      <c r="B32" s="32"/>
      <c r="C32" s="182" t="s">
        <v>26</v>
      </c>
      <c r="D32" s="184"/>
      <c r="E32" s="182" t="s">
        <v>0</v>
      </c>
      <c r="F32" s="183"/>
      <c r="G32" s="183"/>
      <c r="H32" s="182" t="s">
        <v>1</v>
      </c>
      <c r="I32" s="183"/>
      <c r="J32" s="184"/>
    </row>
    <row r="33" spans="2:10" s="34" customFormat="1" ht="15" thickTop="1">
      <c r="B33" s="154" t="s">
        <v>13</v>
      </c>
      <c r="C33" s="167" t="s">
        <v>14</v>
      </c>
      <c r="D33" s="199" t="s">
        <v>15</v>
      </c>
      <c r="E33" s="167" t="s">
        <v>14</v>
      </c>
      <c r="F33" s="197" t="s">
        <v>15</v>
      </c>
      <c r="G33" s="165"/>
      <c r="H33" s="169" t="s">
        <v>14</v>
      </c>
      <c r="I33" s="197" t="s">
        <v>15</v>
      </c>
      <c r="J33" s="165"/>
    </row>
    <row r="34" spans="2:10" s="34" customFormat="1" ht="43.5" thickBot="1">
      <c r="B34" s="155"/>
      <c r="C34" s="168"/>
      <c r="D34" s="200"/>
      <c r="E34" s="198"/>
      <c r="F34" s="35" t="s">
        <v>27</v>
      </c>
      <c r="G34" s="35" t="s">
        <v>39</v>
      </c>
      <c r="H34" s="170"/>
      <c r="I34" s="35" t="s">
        <v>27</v>
      </c>
      <c r="J34" s="36" t="s">
        <v>39</v>
      </c>
    </row>
    <row r="35" spans="2:10" ht="19.5" customHeight="1" thickTop="1">
      <c r="B35" s="37">
        <v>1</v>
      </c>
      <c r="C35" s="38">
        <f>Indices!C5</f>
        <v>341</v>
      </c>
      <c r="D35" s="39">
        <f>ROUNDDOWN($E$7*C35/12,2)+ROUNDDOWN($E$7*C35/12,2)*0.01-ROUNDDOWN($E$7*C35/12,2)*Intro!$F$7-(ROUNDDOWN($E$7*C35/12,2)+ROUNDDOWN($E$7*C35/12,2)*0.01)*Intro!$F$17*Intro!$F$19-(ROUNDDOWN($E$7*C35/12,2)+ROUNDDOWN($E$7*C35/12,2)*0.01)*Intro!$F$17*Intro!$F$21-(ROUNDDOWN($E$7*C35/12,2)+ROUNDDOWN($E$7*C35/12,2)*0.01-ROUNDDOWN($E$7*C35/12,2)*Intro!$F$7-ROUND($E$7*C35/12*0.01*0.05,2))*0.01-ROUND((($E$7*C35/12)*0.01)*0.05,2)</f>
        <v>1321.48919076</v>
      </c>
      <c r="E35" s="40">
        <f>C35</f>
        <v>341</v>
      </c>
      <c r="F35" s="41">
        <f>ROUNDDOWN($E$7*E35/12,2)+ROUNDDOWN($E$7*E35/12,2)*0.01-ROUNDDOWN($E$7*E35/12,2)*Intro!$F$7-(ROUNDDOWN($E$7*E35/12,2)+ROUNDDOWN($E$7*E35/12,2)*0.01+ROUNDDOWN($E$47,2))*Intro!$F$17*Intro!$F$19-(ROUNDDOWN($E$7*E35/12,2)+ROUNDDOWN($E$7*E35/12,2)*0.01+ROUNDDOWN($E$47,2))*Intro!$F$17*Intro!$F$21-(ROUNDDOWN($E$7*E35/12,2)+ROUNDDOWN($E$7*E35/12,2)*0.01-ROUNDDOWN($E$7*E35/12,2)*Intro!$F$7-ROUND((($E$7*E35/12)*0.01+$E$47)*0.05,2))*0.01-ROUND((($E$7*E35/12)*0.01+$E$47)*0.05,2)</f>
        <v>1296.79151076</v>
      </c>
      <c r="G35" s="41">
        <f aca="true" t="shared" si="0" ref="G35:G45">F35+$E$47</f>
        <v>1489.59151076</v>
      </c>
      <c r="H35" s="40">
        <f>C35</f>
        <v>341</v>
      </c>
      <c r="I35" s="41">
        <f>ROUNDDOWN($E$7*H35/12,2)+ROUNDDOWN($E$7*H35/12,2)*0.01-ROUNDDOWN($E$7*H35/12,2)*Intro!$F$7-(ROUNDDOWN($E$7*H35/12,2)+ROUNDDOWN($E$7*H35/12,2)*0.01+ROUNDDOWN($H$47,2))*Intro!$F$17*Intro!$F$19-(ROUNDDOWN($E$7*H35/12,2)+ROUNDDOWN($E$7*H35/12,2)*0.01+ROUNDDOWN($H$47,2))*Intro!$F$17*Intro!$F$21-(ROUNDDOWN($E$7*H35/12,2)+ROUNDDOWN($E$7*H35/12,2)*0.01-ROUNDDOWN($E$7*H35/12,2)*Intro!$F$7-ROUND((($E$7*H35/12)*0.01+$H$47)*0.05,2))*0.01-ROUND((($E$7*H35/12)*0.01+$H$47)*0.05,2)</f>
        <v>1290.61709076</v>
      </c>
      <c r="J35" s="42">
        <f aca="true" t="shared" si="1" ref="J35:J45">I35+$H$47</f>
        <v>1531.61709076</v>
      </c>
    </row>
    <row r="36" spans="2:10" ht="19.5" customHeight="1">
      <c r="B36" s="43">
        <v>2</v>
      </c>
      <c r="C36" s="44">
        <f>Indices!C6</f>
        <v>357</v>
      </c>
      <c r="D36" s="45">
        <f>ROUNDDOWN($E$7*C36/12,2)+ROUNDDOWN($E$7*C36/12,2)*0.01-ROUNDDOWN($E$7*C36/12,2)*Intro!$F$7-(ROUNDDOWN($E$7*C36/12,2)+ROUNDDOWN($E$7*C36/12,2)*0.01)*Intro!$F$17*Intro!$F$19-(ROUNDDOWN($E$7*C36/12,2)+ROUNDDOWN($E$7*C36/12,2)*0.01)*Intro!$F$17*Intro!$F$21-(ROUNDDOWN($E$7*C36/12,2)+ROUNDDOWN($E$7*C36/12,2)*0.01-ROUNDDOWN($E$7*C36/12,2)*Intro!$F$7-ROUND($E$7*C36/12*0.01*0.05,2))*0.01-ROUND((($E$7*C36/12)*0.01)*0.05,2)</f>
        <v>1383.49648353</v>
      </c>
      <c r="E36" s="44">
        <f aca="true" t="shared" si="2" ref="E36:E45">C36</f>
        <v>357</v>
      </c>
      <c r="F36" s="46">
        <f>ROUNDDOWN($E$7*E36/12,2)+ROUNDDOWN($E$7*E36/12,2)*0.01-ROUNDDOWN($E$7*E36/12,2)*Intro!$F$7-(ROUNDDOWN($E$7*E36/12,2)+ROUNDDOWN($E$7*E36/12,2)*0.01+ROUNDDOWN($E$47,2))*Intro!$F$17*Intro!$F$19-(ROUNDDOWN($E$7*E36/12,2)+ROUNDDOWN($E$7*E36/12,2)*0.01+ROUNDDOWN($E$47,2))*Intro!$F$17*Intro!$F$21-(ROUNDDOWN($E$7*E36/12,2)+ROUNDDOWN($E$7*E36/12,2)*0.01-ROUNDDOWN($E$7*E36/12,2)*Intro!$F$7-ROUND((($E$7*E36/12)*0.01+$E$47)*0.05,2))*0.01-ROUND((($E$7*E36/12)*0.01+$E$47)*0.05,2)</f>
        <v>1358.79880353</v>
      </c>
      <c r="G36" s="46">
        <f t="shared" si="0"/>
        <v>1551.59880353</v>
      </c>
      <c r="H36" s="44">
        <f aca="true" t="shared" si="3" ref="H36:H45">C36</f>
        <v>357</v>
      </c>
      <c r="I36" s="46">
        <f>ROUNDDOWN($E$7*H36/12,2)+ROUNDDOWN($E$7*H36/12,2)*0.01-ROUNDDOWN($E$7*H36/12,2)*Intro!$F$7-(ROUNDDOWN($E$7*H36/12,2)+ROUNDDOWN($E$7*H36/12,2)*0.01+ROUNDDOWN($H$47,2))*Intro!$F$17*Intro!$F$19-(ROUNDDOWN($E$7*H36/12,2)+ROUNDDOWN($E$7*H36/12,2)*0.01+ROUNDDOWN($H$47,2))*Intro!$F$17*Intro!$F$21-(ROUNDDOWN($E$7*H36/12,2)+ROUNDDOWN($E$7*H36/12,2)*0.01-ROUNDDOWN($E$7*H36/12,2)*Intro!$F$7-ROUND((($E$7*H36/12)*0.01+$H$47)*0.05,2))*0.01-ROUND((($E$7*H36/12)*0.01+$H$47)*0.05,2)</f>
        <v>1352.6243835299997</v>
      </c>
      <c r="J36" s="47">
        <f t="shared" si="1"/>
        <v>1593.6243835299997</v>
      </c>
    </row>
    <row r="37" spans="2:10" ht="19.5" customHeight="1">
      <c r="B37" s="43">
        <v>3</v>
      </c>
      <c r="C37" s="44">
        <f>Indices!C7</f>
        <v>366</v>
      </c>
      <c r="D37" s="45">
        <f>ROUNDDOWN($E$7*C37/12,2)+ROUNDDOWN($E$7*C37/12,2)*0.01-ROUNDDOWN($E$7*C37/12,2)*Intro!$F$7-(ROUNDDOWN($E$7*C37/12,2)+ROUNDDOWN($E$7*C37/12,2)*0.01)*Intro!$F$17*Intro!$F$19-(ROUNDDOWN($E$7*C37/12,2)+ROUNDDOWN($E$7*C37/12,2)*0.01)*Intro!$F$17*Intro!$F$21-(ROUNDDOWN($E$7*C37/12,2)+ROUNDDOWN($E$7*C37/12,2)*0.01-ROUNDDOWN($E$7*C37/12,2)*Intro!$F$7-ROUND($E$7*C37/12*0.01*0.05,2))*0.01-ROUND((($E$7*C37/12)*0.01)*0.05,2)</f>
        <v>1418.3733500400003</v>
      </c>
      <c r="E37" s="44">
        <f t="shared" si="2"/>
        <v>366</v>
      </c>
      <c r="F37" s="46">
        <f>ROUNDDOWN($E$7*E37/12,2)+ROUNDDOWN($E$7*E37/12,2)*0.01-ROUNDDOWN($E$7*E37/12,2)*Intro!$F$7-(ROUNDDOWN($E$7*E37/12,2)+ROUNDDOWN($E$7*E37/12,2)*0.01+ROUNDDOWN($E$47,2))*Intro!$F$17*Intro!$F$19-(ROUNDDOWN($E$7*E37/12,2)+ROUNDDOWN($E$7*E37/12,2)*0.01+ROUNDDOWN($E$47,2))*Intro!$F$17*Intro!$F$21-(ROUNDDOWN($E$7*E37/12,2)+ROUNDDOWN($E$7*E37/12,2)*0.01-ROUNDDOWN($E$7*E37/12,2)*Intro!$F$7-ROUND((($E$7*E37/12)*0.01+$E$47)*0.05,2))*0.01-ROUND((($E$7*E37/12)*0.01+$E$47)*0.05,2)</f>
        <v>1393.67567004</v>
      </c>
      <c r="G37" s="46">
        <f t="shared" si="0"/>
        <v>1586.47567004</v>
      </c>
      <c r="H37" s="44">
        <f t="shared" si="3"/>
        <v>366</v>
      </c>
      <c r="I37" s="46">
        <f>ROUNDDOWN($E$7*H37/12,2)+ROUNDDOWN($E$7*H37/12,2)*0.01-ROUNDDOWN($E$7*H37/12,2)*Intro!$F$7-(ROUNDDOWN($E$7*H37/12,2)+ROUNDDOWN($E$7*H37/12,2)*0.01+ROUNDDOWN($H$47,2))*Intro!$F$17*Intro!$F$19-(ROUNDDOWN($E$7*H37/12,2)+ROUNDDOWN($E$7*H37/12,2)*0.01+ROUNDDOWN($H$47,2))*Intro!$F$17*Intro!$F$21-(ROUNDDOWN($E$7*H37/12,2)+ROUNDDOWN($E$7*H37/12,2)*0.01-ROUNDDOWN($E$7*H37/12,2)*Intro!$F$7-ROUND((($E$7*H37/12)*0.01+$H$47)*0.05,2))*0.01-ROUND((($E$7*H37/12)*0.01+$H$47)*0.05,2)</f>
        <v>1387.50125004</v>
      </c>
      <c r="J37" s="47">
        <f t="shared" si="1"/>
        <v>1628.50125004</v>
      </c>
    </row>
    <row r="38" spans="2:10" ht="19.5" customHeight="1">
      <c r="B38" s="43">
        <v>4</v>
      </c>
      <c r="C38" s="44">
        <f>Indices!C8</f>
        <v>373</v>
      </c>
      <c r="D38" s="45">
        <f>ROUNDDOWN($E$7*C38/12,2)+ROUNDDOWN($E$7*C38/12,2)*0.01-ROUNDDOWN($E$7*C38/12,2)*Intro!$F$7-(ROUNDDOWN($E$7*C38/12,2)+ROUNDDOWN($E$7*C38/12,2)*0.01)*Intro!$F$17*Intro!$F$19-(ROUNDDOWN($E$7*C38/12,2)+ROUNDDOWN($E$7*C38/12,2)*0.01)*Intro!$F$17*Intro!$F$21-(ROUNDDOWN($E$7*C38/12,2)+ROUNDDOWN($E$7*C38/12,2)*0.01-ROUNDDOWN($E$7*C38/12,2)*Intro!$F$7-ROUND($E$7*C38/12*0.01*0.05,2))*0.01-ROUND((($E$7*C38/12)*0.01)*0.05,2)</f>
        <v>1445.5053017700002</v>
      </c>
      <c r="E38" s="44">
        <f t="shared" si="2"/>
        <v>373</v>
      </c>
      <c r="F38" s="46">
        <f>ROUNDDOWN($E$7*E38/12,2)+ROUNDDOWN($E$7*E38/12,2)*0.01-ROUNDDOWN($E$7*E38/12,2)*Intro!$F$7-(ROUNDDOWN($E$7*E38/12,2)+ROUNDDOWN($E$7*E38/12,2)*0.01+ROUNDDOWN($E$47,2))*Intro!$F$17*Intro!$F$19-(ROUNDDOWN($E$7*E38/12,2)+ROUNDDOWN($E$7*E38/12,2)*0.01+ROUNDDOWN($E$47,2))*Intro!$F$17*Intro!$F$21-(ROUNDDOWN($E$7*E38/12,2)+ROUNDDOWN($E$7*E38/12,2)*0.01-ROUNDDOWN($E$7*E38/12,2)*Intro!$F$7-ROUND((($E$7*E38/12)*0.01+$E$47)*0.05,2))*0.01-ROUND((($E$7*E38/12)*0.01+$E$47)*0.05,2)</f>
        <v>1420.8076217699997</v>
      </c>
      <c r="G38" s="46">
        <f t="shared" si="0"/>
        <v>1613.6076217699997</v>
      </c>
      <c r="H38" s="44">
        <f t="shared" si="3"/>
        <v>373</v>
      </c>
      <c r="I38" s="46">
        <f>ROUNDDOWN($E$7*H38/12,2)+ROUNDDOWN($E$7*H38/12,2)*0.01-ROUNDDOWN($E$7*H38/12,2)*Intro!$F$7-(ROUNDDOWN($E$7*H38/12,2)+ROUNDDOWN($E$7*H38/12,2)*0.01+ROUNDDOWN($H$47,2))*Intro!$F$17*Intro!$F$19-(ROUNDDOWN($E$7*H38/12,2)+ROUNDDOWN($E$7*H38/12,2)*0.01+ROUNDDOWN($H$47,2))*Intro!$F$17*Intro!$F$21-(ROUNDDOWN($E$7*H38/12,2)+ROUNDDOWN($E$7*H38/12,2)*0.01-ROUNDDOWN($E$7*H38/12,2)*Intro!$F$7-ROUND((($E$7*H38/12)*0.01+$H$47)*0.05,2))*0.01-ROUND((($E$7*H38/12)*0.01+$H$47)*0.05,2)</f>
        <v>1414.6332017699997</v>
      </c>
      <c r="J38" s="47">
        <f t="shared" si="1"/>
        <v>1655.6332017699997</v>
      </c>
    </row>
    <row r="39" spans="2:10" ht="19.5" customHeight="1">
      <c r="B39" s="43">
        <v>5</v>
      </c>
      <c r="C39" s="44">
        <f>Indices!C9</f>
        <v>383</v>
      </c>
      <c r="D39" s="45">
        <f>ROUNDDOWN($E$7*C39/12,2)+ROUNDDOWN($E$7*C39/12,2)*0.01-ROUNDDOWN($E$7*C39/12,2)*Intro!$F$7-(ROUNDDOWN($E$7*C39/12,2)+ROUNDDOWN($E$7*C39/12,2)*0.01)*Intro!$F$17*Intro!$F$19-(ROUNDDOWN($E$7*C39/12,2)+ROUNDDOWN($E$7*C39/12,2)*0.01)*Intro!$F$17*Intro!$F$21-(ROUNDDOWN($E$7*C39/12,2)+ROUNDDOWN($E$7*C39/12,2)*0.01-ROUNDDOWN($E$7*C39/12,2)*Intro!$F$7-ROUND($E$7*C39/12*0.01*0.05,2))*0.01-ROUND((($E$7*C39/12)*0.01)*0.05,2)</f>
        <v>1484.2580501999998</v>
      </c>
      <c r="E39" s="44">
        <f t="shared" si="2"/>
        <v>383</v>
      </c>
      <c r="F39" s="46">
        <f>ROUNDDOWN($E$7*E39/12,2)+ROUNDDOWN($E$7*E39/12,2)*0.01-ROUNDDOWN($E$7*E39/12,2)*Intro!$F$7-(ROUNDDOWN($E$7*E39/12,2)+ROUNDDOWN($E$7*E39/12,2)*0.01+ROUNDDOWN($E$47,2))*Intro!$F$17*Intro!$F$19-(ROUNDDOWN($E$7*E39/12,2)+ROUNDDOWN($E$7*E39/12,2)*0.01+ROUNDDOWN($E$47,2))*Intro!$F$17*Intro!$F$21-(ROUNDDOWN($E$7*E39/12,2)+ROUNDDOWN($E$7*E39/12,2)*0.01-ROUNDDOWN($E$7*E39/12,2)*Intro!$F$7-ROUND((($E$7*E39/12)*0.01+$E$47)*0.05,2))*0.01-ROUND((($E$7*E39/12)*0.01+$E$47)*0.05,2)</f>
        <v>1459.5603702</v>
      </c>
      <c r="G39" s="46">
        <f t="shared" si="0"/>
        <v>1652.3603702</v>
      </c>
      <c r="H39" s="44">
        <f t="shared" si="3"/>
        <v>383</v>
      </c>
      <c r="I39" s="46">
        <f>ROUNDDOWN($E$7*H39/12,2)+ROUNDDOWN($E$7*H39/12,2)*0.01-ROUNDDOWN($E$7*H39/12,2)*Intro!$F$7-(ROUNDDOWN($E$7*H39/12,2)+ROUNDDOWN($E$7*H39/12,2)*0.01+ROUNDDOWN($H$47,2))*Intro!$F$17*Intro!$F$19-(ROUNDDOWN($E$7*H39/12,2)+ROUNDDOWN($E$7*H39/12,2)*0.01+ROUNDDOWN($H$47,2))*Intro!$F$17*Intro!$F$21-(ROUNDDOWN($E$7*H39/12,2)+ROUNDDOWN($E$7*H39/12,2)*0.01-ROUNDDOWN($E$7*H39/12,2)*Intro!$F$7-ROUND((($E$7*H39/12)*0.01+$H$47)*0.05,2))*0.01-ROUND((($E$7*H39/12)*0.01+$H$47)*0.05,2)</f>
        <v>1453.3859502</v>
      </c>
      <c r="J39" s="47">
        <f t="shared" si="1"/>
        <v>1694.3859502</v>
      </c>
    </row>
    <row r="40" spans="2:10" ht="19.5" customHeight="1">
      <c r="B40" s="43">
        <v>6</v>
      </c>
      <c r="C40" s="44">
        <f>Indices!C10</f>
        <v>390</v>
      </c>
      <c r="D40" s="45">
        <f>ROUNDDOWN($E$7*C40/12,2)+ROUNDDOWN($E$7*C40/12,2)*0.01-ROUNDDOWN($E$7*C40/12,2)*Intro!$F$7-(ROUNDDOWN($E$7*C40/12,2)+ROUNDDOWN($E$7*C40/12,2)*0.01)*Intro!$F$17*Intro!$F$19-(ROUNDDOWN($E$7*C40/12,2)+ROUNDDOWN($E$7*C40/12,2)*0.01)*Intro!$F$17*Intro!$F$21-(ROUNDDOWN($E$7*C40/12,2)+ROUNDDOWN($E$7*C40/12,2)*0.01-ROUNDDOWN($E$7*C40/12,2)*Intro!$F$7-ROUND($E$7*C40/12*0.01*0.05,2))*0.01-ROUND((($E$7*C40/12)*0.01)*0.05,2)</f>
        <v>1511.39000193</v>
      </c>
      <c r="E40" s="44">
        <f t="shared" si="2"/>
        <v>390</v>
      </c>
      <c r="F40" s="46">
        <f>ROUNDDOWN($E$7*E40/12,2)+ROUNDDOWN($E$7*E40/12,2)*0.01-ROUNDDOWN($E$7*E40/12,2)*Intro!$F$7-(ROUNDDOWN($E$7*E40/12,2)+ROUNDDOWN($E$7*E40/12,2)*0.01+ROUNDDOWN($E$47,2))*Intro!$F$17*Intro!$F$19-(ROUNDDOWN($E$7*E40/12,2)+ROUNDDOWN($E$7*E40/12,2)*0.01+ROUNDDOWN($E$47,2))*Intro!$F$17*Intro!$F$21-(ROUNDDOWN($E$7*E40/12,2)+ROUNDDOWN($E$7*E40/12,2)*0.01-ROUNDDOWN($E$7*E40/12,2)*Intro!$F$7-ROUND((($E$7*E40/12)*0.01+$E$47)*0.05,2))*0.01-ROUND((($E$7*E40/12)*0.01+$E$47)*0.05,2)</f>
        <v>1486.69232193</v>
      </c>
      <c r="G40" s="46">
        <f t="shared" si="0"/>
        <v>1679.49232193</v>
      </c>
      <c r="H40" s="44">
        <f t="shared" si="3"/>
        <v>390</v>
      </c>
      <c r="I40" s="46">
        <f>ROUNDDOWN($E$7*H40/12,2)+ROUNDDOWN($E$7*H40/12,2)*0.01-ROUNDDOWN($E$7*H40/12,2)*Intro!$F$7-(ROUNDDOWN($E$7*H40/12,2)+ROUNDDOWN($E$7*H40/12,2)*0.01+ROUNDDOWN($H$47,2))*Intro!$F$17*Intro!$F$19-(ROUNDDOWN($E$7*H40/12,2)+ROUNDDOWN($E$7*H40/12,2)*0.01+ROUNDDOWN($H$47,2))*Intro!$F$17*Intro!$F$21-(ROUNDDOWN($E$7*H40/12,2)+ROUNDDOWN($E$7*H40/12,2)*0.01-ROUNDDOWN($E$7*H40/12,2)*Intro!$F$7-ROUND((($E$7*H40/12)*0.01+$H$47)*0.05,2))*0.01-ROUND((($E$7*H40/12)*0.01+$H$47)*0.05,2)</f>
        <v>1480.5179019299999</v>
      </c>
      <c r="J40" s="47">
        <f t="shared" si="1"/>
        <v>1721.5179019299999</v>
      </c>
    </row>
    <row r="41" spans="2:10" ht="19.5" customHeight="1">
      <c r="B41" s="43">
        <v>7</v>
      </c>
      <c r="C41" s="44">
        <f>Indices!C11</f>
        <v>399</v>
      </c>
      <c r="D41" s="45">
        <f>ROUNDDOWN($E$7*C41/12,2)+ROUNDDOWN($E$7*C41/12,2)*0.01-ROUNDDOWN($E$7*C41/12,2)*Intro!$F$7-(ROUNDDOWN($E$7*C41/12,2)+ROUNDDOWN($E$7*C41/12,2)*0.01)*Intro!$F$17*Intro!$F$19-(ROUNDDOWN($E$7*C41/12,2)+ROUNDDOWN($E$7*C41/12,2)*0.01)*Intro!$F$17*Intro!$F$21-(ROUNDDOWN($E$7*C41/12,2)+ROUNDDOWN($E$7*C41/12,2)*0.01-ROUNDDOWN($E$7*C41/12,2)*Intro!$F$7-ROUND($E$7*C41/12*0.01*0.05,2))*0.01-ROUND((($E$7*C41/12)*0.01)*0.05,2)</f>
        <v>1546.2668684399998</v>
      </c>
      <c r="E41" s="44">
        <f t="shared" si="2"/>
        <v>399</v>
      </c>
      <c r="F41" s="46">
        <f>ROUNDDOWN($E$7*E41/12,2)+ROUNDDOWN($E$7*E41/12,2)*0.01-ROUNDDOWN($E$7*E41/12,2)*Intro!$F$7-(ROUNDDOWN($E$7*E41/12,2)+ROUNDDOWN($E$7*E41/12,2)*0.01+ROUNDDOWN($E$47,2))*Intro!$F$17*Intro!$F$19-(ROUNDDOWN($E$7*E41/12,2)+ROUNDDOWN($E$7*E41/12,2)*0.01+ROUNDDOWN($E$47,2))*Intro!$F$17*Intro!$F$21-(ROUNDDOWN($E$7*E41/12,2)+ROUNDDOWN($E$7*E41/12,2)*0.01-ROUNDDOWN($E$7*E41/12,2)*Intro!$F$7-ROUND((($E$7*E41/12)*0.01+$E$47)*0.05,2))*0.01-ROUND((($E$7*E41/12)*0.01+$E$47)*0.05,2)</f>
        <v>1521.56918844</v>
      </c>
      <c r="G41" s="46">
        <f t="shared" si="0"/>
        <v>1714.36918844</v>
      </c>
      <c r="H41" s="44">
        <f t="shared" si="3"/>
        <v>399</v>
      </c>
      <c r="I41" s="46">
        <f>ROUNDDOWN($E$7*H41/12,2)+ROUNDDOWN($E$7*H41/12,2)*0.01-ROUNDDOWN($E$7*H41/12,2)*Intro!$F$7-(ROUNDDOWN($E$7*H41/12,2)+ROUNDDOWN($E$7*H41/12,2)*0.01+ROUNDDOWN($H$47,2))*Intro!$F$17*Intro!$F$19-(ROUNDDOWN($E$7*H41/12,2)+ROUNDDOWN($E$7*H41/12,2)*0.01+ROUNDDOWN($H$47,2))*Intro!$F$17*Intro!$F$21-(ROUNDDOWN($E$7*H41/12,2)+ROUNDDOWN($E$7*H41/12,2)*0.01-ROUNDDOWN($E$7*H41/12,2)*Intro!$F$7-ROUND((($E$7*H41/12)*0.01+$H$47)*0.05,2))*0.01-ROUND((($E$7*H41/12)*0.01+$H$47)*0.05,2)</f>
        <v>1515.3947684399998</v>
      </c>
      <c r="J41" s="47">
        <f t="shared" si="1"/>
        <v>1756.3947684399998</v>
      </c>
    </row>
    <row r="42" spans="2:10" ht="19.5" customHeight="1">
      <c r="B42" s="43">
        <v>8</v>
      </c>
      <c r="C42" s="44">
        <f>Indices!C12</f>
        <v>420</v>
      </c>
      <c r="D42" s="45">
        <f>ROUNDDOWN($E$7*C42/12,2)+ROUNDDOWN($E$7*C42/12,2)*0.01-ROUNDDOWN($E$7*C42/12,2)*Intro!$F$7-(ROUNDDOWN($E$7*C42/12,2)+ROUNDDOWN($E$7*C42/12,2)*0.01)*Intro!$F$17*Intro!$F$19-(ROUNDDOWN($E$7*C42/12,2)+ROUNDDOWN($E$7*C42/12,2)*0.01)*Intro!$F$17*Intro!$F$21-(ROUNDDOWN($E$7*C42/12,2)+ROUNDDOWN($E$7*C42/12,2)*0.01-ROUNDDOWN($E$7*C42/12,2)*Intro!$F$7-ROUND($E$7*C42/12*0.01*0.05,2))*0.01-ROUND((($E$7*C42/12)*0.01)*0.05,2)</f>
        <v>1627.6512981600001</v>
      </c>
      <c r="E42" s="44">
        <f t="shared" si="2"/>
        <v>420</v>
      </c>
      <c r="F42" s="46">
        <f>ROUNDDOWN($E$7*E42/12,2)+ROUNDDOWN($E$7*E42/12,2)*0.01-ROUNDDOWN($E$7*E42/12,2)*Intro!$F$7-(ROUNDDOWN($E$7*E42/12,2)+ROUNDDOWN($E$7*E42/12,2)*0.01+ROUNDDOWN($E$47,2))*Intro!$F$17*Intro!$F$19-(ROUNDDOWN($E$7*E42/12,2)+ROUNDDOWN($E$7*E42/12,2)*0.01+ROUNDDOWN($E$47,2))*Intro!$F$17*Intro!$F$21-(ROUNDDOWN($E$7*E42/12,2)+ROUNDDOWN($E$7*E42/12,2)*0.01-ROUNDDOWN($E$7*E42/12,2)*Intro!$F$7-ROUND((($E$7*E42/12)*0.01+$E$47)*0.05,2))*0.01-ROUND((($E$7*E42/12)*0.01+$E$47)*0.05,2)</f>
        <v>1602.9536181600001</v>
      </c>
      <c r="G42" s="46">
        <f t="shared" si="0"/>
        <v>1795.75361816</v>
      </c>
      <c r="H42" s="44">
        <f t="shared" si="3"/>
        <v>420</v>
      </c>
      <c r="I42" s="46">
        <f>ROUNDDOWN($E$7*H42/12,2)+ROUNDDOWN($E$7*H42/12,2)*0.01-ROUNDDOWN($E$7*H42/12,2)*Intro!$F$7-(ROUNDDOWN($E$7*H42/12,2)+ROUNDDOWN($E$7*H42/12,2)*0.01+ROUNDDOWN($H$47,2))*Intro!$F$17*Intro!$F$19-(ROUNDDOWN($E$7*H42/12,2)+ROUNDDOWN($E$7*H42/12,2)*0.01+ROUNDDOWN($H$47,2))*Intro!$F$17*Intro!$F$21-(ROUNDDOWN($E$7*H42/12,2)+ROUNDDOWN($E$7*H42/12,2)*0.01-ROUNDDOWN($E$7*H42/12,2)*Intro!$F$7-ROUND((($E$7*H42/12)*0.01+$H$47)*0.05,2))*0.01-ROUND((($E$7*H42/12)*0.01+$H$47)*0.05,2)</f>
        <v>1596.7791981600003</v>
      </c>
      <c r="J42" s="47">
        <f t="shared" si="1"/>
        <v>1837.7791981600003</v>
      </c>
    </row>
    <row r="43" spans="2:10" ht="19.5" customHeight="1">
      <c r="B43" s="43">
        <v>9</v>
      </c>
      <c r="C43" s="44">
        <f>Indices!C13</f>
        <v>441</v>
      </c>
      <c r="D43" s="45">
        <f>ROUNDDOWN($E$7*C43/12,2)+ROUNDDOWN($E$7*C43/12,2)*0.01-ROUNDDOWN($E$7*C43/12,2)*Intro!$F$7-(ROUNDDOWN($E$7*C43/12,2)+ROUNDDOWN($E$7*C43/12,2)*0.01)*Intro!$F$17*Intro!$F$19-(ROUNDDOWN($E$7*C43/12,2)+ROUNDDOWN($E$7*C43/12,2)*0.01)*Intro!$F$17*Intro!$F$21-(ROUNDDOWN($E$7*C43/12,2)+ROUNDDOWN($E$7*C43/12,2)*0.01-ROUNDDOWN($E$7*C43/12,2)*Intro!$F$7-ROUND($E$7*C43/12*0.01*0.05,2))*0.01-ROUND((($E$7*C43/12)*0.01)*0.05,2)</f>
        <v>1709.0273533500003</v>
      </c>
      <c r="E43" s="44">
        <f t="shared" si="2"/>
        <v>441</v>
      </c>
      <c r="F43" s="46">
        <f>ROUNDDOWN($E$7*E43/12,2)+ROUNDDOWN($E$7*E43/12,2)*0.01-ROUNDDOWN($E$7*E43/12,2)*Intro!$F$7-(ROUNDDOWN($E$7*E43/12,2)+ROUNDDOWN($E$7*E43/12,2)*0.01+ROUNDDOWN($E$47,2))*Intro!$F$17*Intro!$F$19-(ROUNDDOWN($E$7*E43/12,2)+ROUNDDOWN($E$7*E43/12,2)*0.01+ROUNDDOWN($E$47,2))*Intro!$F$17*Intro!$F$21-(ROUNDDOWN($E$7*E43/12,2)+ROUNDDOWN($E$7*E43/12,2)*0.01-ROUNDDOWN($E$7*E43/12,2)*Intro!$F$7-ROUND((($E$7*E43/12)*0.01+$E$47)*0.05,2))*0.01-ROUND((($E$7*E43/12)*0.01+$E$47)*0.05,2)</f>
        <v>1684.3296733500001</v>
      </c>
      <c r="G43" s="46">
        <f t="shared" si="0"/>
        <v>1877.12967335</v>
      </c>
      <c r="H43" s="44">
        <f t="shared" si="3"/>
        <v>441</v>
      </c>
      <c r="I43" s="46">
        <f>ROUNDDOWN($E$7*H43/12,2)+ROUNDDOWN($E$7*H43/12,2)*0.01-ROUNDDOWN($E$7*H43/12,2)*Intro!$F$7-(ROUNDDOWN($E$7*H43/12,2)+ROUNDDOWN($E$7*H43/12,2)*0.01+ROUNDDOWN($H$47,2))*Intro!$F$17*Intro!$F$19-(ROUNDDOWN($E$7*H43/12,2)+ROUNDDOWN($E$7*H43/12,2)*0.01+ROUNDDOWN($H$47,2))*Intro!$F$17*Intro!$F$21-(ROUNDDOWN($E$7*H43/12,2)+ROUNDDOWN($E$7*H43/12,2)*0.01-ROUNDDOWN($E$7*H43/12,2)*Intro!$F$7-ROUND((($E$7*H43/12)*0.01+$H$47)*0.05,2))*0.01-ROUND((($E$7*H43/12)*0.01+$H$47)*0.05,2)</f>
        <v>1678.1552533500003</v>
      </c>
      <c r="J43" s="47">
        <f t="shared" si="1"/>
        <v>1919.1552533500003</v>
      </c>
    </row>
    <row r="44" spans="2:10" ht="19.5" customHeight="1">
      <c r="B44" s="43">
        <v>10</v>
      </c>
      <c r="C44" s="44">
        <f>Indices!C14</f>
        <v>469</v>
      </c>
      <c r="D44" s="45">
        <f>ROUNDDOWN($E$7*C44/12,2)+ROUNDDOWN($E$7*C44/12,2)*0.01-ROUNDDOWN($E$7*C44/12,2)*Intro!$F$7-(ROUNDDOWN($E$7*C44/12,2)+ROUNDDOWN($E$7*C44/12,2)*0.01)*Intro!$F$17*Intro!$F$19-(ROUNDDOWN($E$7*C44/12,2)+ROUNDDOWN($E$7*C44/12,2)*0.01)*Intro!$F$17*Intro!$F$21-(ROUNDDOWN($E$7*C44/12,2)+ROUNDDOWN($E$7*C44/12,2)*0.01-ROUNDDOWN($E$7*C44/12,2)*Intro!$F$7-ROUND($E$7*C44/12*0.01*0.05,2))*0.01-ROUND((($E$7*C44/12)*0.01)*0.05,2)</f>
        <v>1817.5338348</v>
      </c>
      <c r="E44" s="44">
        <f t="shared" si="2"/>
        <v>469</v>
      </c>
      <c r="F44" s="46">
        <f>ROUNDDOWN($E$7*E44/12,2)+ROUNDDOWN($E$7*E44/12,2)*0.01-ROUNDDOWN($E$7*E44/12,2)*Intro!$F$7-(ROUNDDOWN($E$7*E44/12,2)+ROUNDDOWN($E$7*E44/12,2)*0.01+ROUNDDOWN($E$47,2))*Intro!$F$17*Intro!$F$19-(ROUNDDOWN($E$7*E44/12,2)+ROUNDDOWN($E$7*E44/12,2)*0.01+ROUNDDOWN($E$47,2))*Intro!$F$17*Intro!$F$21-(ROUNDDOWN($E$7*E44/12,2)+ROUNDDOWN($E$7*E44/12,2)*0.01-ROUNDDOWN($E$7*E44/12,2)*Intro!$F$7-ROUND((($E$7*E44/12)*0.01+$E$47)*0.05,2))*0.01-ROUND((($E$7*E44/12)*0.01+$E$47)*0.05,2)</f>
        <v>1792.8361547999998</v>
      </c>
      <c r="G44" s="46">
        <f t="shared" si="0"/>
        <v>1985.6361547999998</v>
      </c>
      <c r="H44" s="44">
        <f t="shared" si="3"/>
        <v>469</v>
      </c>
      <c r="I44" s="46">
        <f>ROUNDDOWN($E$7*H44/12,2)+ROUNDDOWN($E$7*H44/12,2)*0.01-ROUNDDOWN($E$7*H44/12,2)*Intro!$F$7-(ROUNDDOWN($E$7*H44/12,2)+ROUNDDOWN($E$7*H44/12,2)*0.01+ROUNDDOWN($H$47,2))*Intro!$F$17*Intro!$F$19-(ROUNDDOWN($E$7*H44/12,2)+ROUNDDOWN($E$7*H44/12,2)*0.01+ROUNDDOWN($H$47,2))*Intro!$F$17*Intro!$F$21-(ROUNDDOWN($E$7*H44/12,2)+ROUNDDOWN($E$7*H44/12,2)*0.01-ROUNDDOWN($E$7*H44/12,2)*Intro!$F$7-ROUND((($E$7*H44/12)*0.01+$H$47)*0.05,2))*0.01-ROUND((($E$7*H44/12)*0.01+$H$47)*0.05,2)</f>
        <v>1786.6617347999997</v>
      </c>
      <c r="J44" s="47">
        <f t="shared" si="1"/>
        <v>2027.6617347999997</v>
      </c>
    </row>
    <row r="45" spans="2:10" ht="19.5" customHeight="1" thickBot="1">
      <c r="B45" s="48">
        <v>11</v>
      </c>
      <c r="C45" s="49">
        <f>Indices!C15</f>
        <v>515</v>
      </c>
      <c r="D45" s="50">
        <f>ROUNDDOWN($E$7*C45/12,2)+ROUNDDOWN($E$7*C45/12,2)*0.01-ROUNDDOWN($E$7*C45/12,2)*Intro!$F$7-(ROUNDDOWN($E$7*C45/12,2)+ROUNDDOWN($E$7*C45/12,2)*0.01)*Intro!$F$17*Intro!$F$19-(ROUNDDOWN($E$7*C45/12,2)+ROUNDDOWN($E$7*C45/12,2)*0.01)*Intro!$F$17*Intro!$F$21-(ROUNDDOWN($E$7*C45/12,2)+ROUNDDOWN($E$7*C45/12,2)*0.01-ROUNDDOWN($E$7*C45/12,2)*Intro!$F$7-ROUND($E$7*C45/12*0.01*0.05,2))*0.01-ROUND((($E$7*C45/12)*0.01)*0.05,2)</f>
        <v>1995.8123238</v>
      </c>
      <c r="E45" s="49">
        <f t="shared" si="2"/>
        <v>515</v>
      </c>
      <c r="F45" s="51">
        <f>ROUNDDOWN($E$7*E45/12,2)+ROUNDDOWN($E$7*E45/12,2)*0.01-ROUNDDOWN($E$7*E45/12,2)*Intro!$F$7-(ROUNDDOWN($E$7*E45/12,2)+ROUNDDOWN($E$7*E45/12,2)*0.01+ROUNDDOWN($E$47,2))*Intro!$F$17*Intro!$F$19-(ROUNDDOWN($E$7*E45/12,2)+ROUNDDOWN($E$7*E45/12,2)*0.01+ROUNDDOWN($E$47,2))*Intro!$F$17*Intro!$F$21-(ROUNDDOWN($E$7*E45/12,2)+ROUNDDOWN($E$7*E45/12,2)*0.01-ROUNDDOWN($E$7*E45/12,2)*Intro!$F$7-ROUND((($E$7*E45/12)*0.01+$E$47)*0.05,2))*0.01-ROUND((($E$7*E45/12)*0.01+$E$47)*0.05,2)</f>
        <v>1971.1146438</v>
      </c>
      <c r="G45" s="51">
        <f t="shared" si="0"/>
        <v>2163.9146438000002</v>
      </c>
      <c r="H45" s="49">
        <f t="shared" si="3"/>
        <v>515</v>
      </c>
      <c r="I45" s="51">
        <f>ROUNDDOWN($E$7*H45/12,2)+ROUNDDOWN($E$7*H45/12,2)*0.01-ROUNDDOWN($E$7*H45/12,2)*Intro!$F$7-(ROUNDDOWN($E$7*H45/12,2)+ROUNDDOWN($E$7*H45/12,2)*0.01+ROUNDDOWN($H$47,2))*Intro!$F$17*Intro!$F$19-(ROUNDDOWN($E$7*H45/12,2)+ROUNDDOWN($E$7*H45/12,2)*0.01+ROUNDDOWN($H$47,2))*Intro!$F$17*Intro!$F$21-(ROUNDDOWN($E$7*H45/12,2)+ROUNDDOWN($E$7*H45/12,2)*0.01-ROUNDDOWN($E$7*H45/12,2)*Intro!$F$7-ROUND((($E$7*H45/12)*0.01+$H$47)*0.05,2))*0.01-ROUND((($E$7*H45/12)*0.01+$H$47)*0.05,2)</f>
        <v>1964.9402238</v>
      </c>
      <c r="J45" s="52">
        <f t="shared" si="1"/>
        <v>2205.9402238000002</v>
      </c>
    </row>
    <row r="46" spans="3:11" ht="19.5" customHeight="1" thickBot="1" thickTop="1">
      <c r="C46" s="53"/>
      <c r="D46" s="53"/>
      <c r="E46" s="53"/>
      <c r="F46" s="214" t="s">
        <v>10</v>
      </c>
      <c r="G46" s="214"/>
      <c r="H46" s="214"/>
      <c r="I46" s="214"/>
      <c r="J46" s="214"/>
      <c r="K46" s="214"/>
    </row>
    <row r="47" spans="2:11" s="56" customFormat="1" ht="27.75" customHeight="1" thickBot="1" thickTop="1">
      <c r="B47" s="54" t="s">
        <v>9</v>
      </c>
      <c r="C47" s="201">
        <f>Intro!H4</f>
        <v>39082</v>
      </c>
      <c r="D47" s="202"/>
      <c r="E47" s="189">
        <f>Intro!C4</f>
        <v>192.8</v>
      </c>
      <c r="F47" s="203"/>
      <c r="G47" s="190"/>
      <c r="H47" s="189">
        <f>Intro!F4</f>
        <v>241</v>
      </c>
      <c r="I47" s="203"/>
      <c r="J47" s="190"/>
      <c r="K47" s="55"/>
    </row>
    <row r="48" spans="3:5" ht="15" thickTop="1">
      <c r="C48" s="63"/>
      <c r="D48" s="63"/>
      <c r="E48" s="63"/>
    </row>
    <row r="49" spans="3:5" ht="14.25">
      <c r="C49" s="63"/>
      <c r="D49" s="63"/>
      <c r="E49" s="63"/>
    </row>
    <row r="50" spans="3:5" ht="14.25">
      <c r="C50" s="28"/>
      <c r="D50" s="28"/>
      <c r="E50" s="28"/>
    </row>
  </sheetData>
  <sheetProtection sheet="1"/>
  <mergeCells count="34">
    <mergeCell ref="B2:C2"/>
    <mergeCell ref="H33:H34"/>
    <mergeCell ref="B33:B34"/>
    <mergeCell ref="H7:J9"/>
    <mergeCell ref="I4:J4"/>
    <mergeCell ref="I5:J5"/>
    <mergeCell ref="C33:C34"/>
    <mergeCell ref="E7:F7"/>
    <mergeCell ref="E8:F8"/>
    <mergeCell ref="E9:F9"/>
    <mergeCell ref="B4:H5"/>
    <mergeCell ref="H32:J32"/>
    <mergeCell ref="C31:J31"/>
    <mergeCell ref="B13:B14"/>
    <mergeCell ref="C32:D32"/>
    <mergeCell ref="H23:K24"/>
    <mergeCell ref="H19:K20"/>
    <mergeCell ref="E19:E20"/>
    <mergeCell ref="C13:C14"/>
    <mergeCell ref="C12:D12"/>
    <mergeCell ref="C15:F16"/>
    <mergeCell ref="F19:F20"/>
    <mergeCell ref="E17:G18"/>
    <mergeCell ref="D13:D14"/>
    <mergeCell ref="G19:G20"/>
    <mergeCell ref="D33:D34"/>
    <mergeCell ref="I33:J33"/>
    <mergeCell ref="E32:G32"/>
    <mergeCell ref="E33:E34"/>
    <mergeCell ref="C47:D47"/>
    <mergeCell ref="E47:G47"/>
    <mergeCell ref="H47:J47"/>
    <mergeCell ref="F46:K46"/>
    <mergeCell ref="F33:G33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showGridLines="0" showRowColHeaders="0" zoomScaleSheetLayoutView="100" zoomScalePageLayoutView="0" workbookViewId="0" topLeftCell="A1">
      <selection activeCell="M24" sqref="M24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177" t="s">
        <v>46</v>
      </c>
      <c r="C4" s="178"/>
      <c r="D4" s="178"/>
      <c r="E4" s="178"/>
      <c r="F4" s="178"/>
      <c r="G4" s="178"/>
      <c r="H4" s="178"/>
      <c r="I4" s="159" t="s">
        <v>59</v>
      </c>
      <c r="J4" s="160"/>
    </row>
    <row r="5" spans="2:10" s="24" customFormat="1" ht="36" customHeight="1" thickBot="1">
      <c r="B5" s="179"/>
      <c r="C5" s="180"/>
      <c r="D5" s="180"/>
      <c r="E5" s="180"/>
      <c r="F5" s="180"/>
      <c r="G5" s="180"/>
      <c r="H5" s="180"/>
      <c r="I5" s="161">
        <f>Intro!H2</f>
        <v>39478</v>
      </c>
      <c r="J5" s="162"/>
    </row>
    <row r="6" spans="2:7" s="26" customFormat="1" ht="9.75" customHeight="1" thickTop="1">
      <c r="B6" s="25"/>
      <c r="C6" s="25"/>
      <c r="D6" s="25"/>
      <c r="E6" s="25"/>
      <c r="F6" s="25"/>
      <c r="G6" s="25"/>
    </row>
    <row r="7" spans="2:11" s="28" customFormat="1" ht="18" customHeight="1">
      <c r="B7" s="27"/>
      <c r="D7" s="29" t="s">
        <v>4</v>
      </c>
      <c r="E7" s="174">
        <f>Intro!F2</f>
        <v>55.5635</v>
      </c>
      <c r="F7" s="175"/>
      <c r="G7" s="181" t="s">
        <v>32</v>
      </c>
      <c r="H7" s="181"/>
      <c r="I7" s="181"/>
      <c r="J7" s="181"/>
      <c r="K7" s="75"/>
    </row>
    <row r="8" spans="2:10" s="28" customFormat="1" ht="18" customHeight="1">
      <c r="B8" s="27"/>
      <c r="D8" s="29" t="s">
        <v>2</v>
      </c>
      <c r="E8" s="176">
        <f>ROUNDDOWN(E7/12,2)</f>
        <v>4.63</v>
      </c>
      <c r="F8" s="176"/>
      <c r="G8" s="181"/>
      <c r="H8" s="181"/>
      <c r="I8" s="181"/>
      <c r="J8" s="181"/>
    </row>
    <row r="9" spans="2:11" s="28" customFormat="1" ht="18" customHeight="1">
      <c r="B9" s="27"/>
      <c r="D9" s="29" t="s">
        <v>3</v>
      </c>
      <c r="E9" s="176">
        <f>ROUNDDOWN($E$7/12,2)-ROUNDDOWN($E$7/12,2)*Intro!$F$7-ROUNDDOWN($E$7/12,2)*Intro!$F$17*Intro!$F$19-ROUNDDOWN($E$7/12,2)*Intro!$F$17*Intro!$F$21-(ROUNDDOWN($E$7/12,2)-ROUNDDOWN($E$7/12,2)*Intro!$F$7)*0.01</f>
        <v>3.83520957</v>
      </c>
      <c r="F9" s="176"/>
      <c r="G9" s="181"/>
      <c r="H9" s="181"/>
      <c r="I9" s="181"/>
      <c r="J9" s="181"/>
      <c r="K9" s="75"/>
    </row>
    <row r="10" spans="1:12" s="28" customFormat="1" ht="18" customHeight="1" thickBot="1">
      <c r="A10" s="56"/>
      <c r="B10" s="56"/>
      <c r="C10" s="57"/>
      <c r="D10" s="57"/>
      <c r="E10" s="58"/>
      <c r="F10" s="59"/>
      <c r="G10" s="59"/>
      <c r="H10" s="60"/>
      <c r="I10" s="61"/>
      <c r="J10" s="61"/>
      <c r="K10" s="61"/>
      <c r="L10" s="56"/>
    </row>
    <row r="11" spans="1:12" s="28" customFormat="1" ht="22.5" customHeight="1" thickBot="1" thickTop="1">
      <c r="A11" s="22"/>
      <c r="B11" s="22"/>
      <c r="C11" s="156" t="s">
        <v>17</v>
      </c>
      <c r="D11" s="158"/>
      <c r="E11" s="56"/>
      <c r="F11" s="22"/>
      <c r="G11" s="22"/>
      <c r="H11" s="56"/>
      <c r="I11" s="22"/>
      <c r="J11" s="22"/>
      <c r="K11" s="78"/>
      <c r="L11" s="78"/>
    </row>
    <row r="12" spans="1:12" s="33" customFormat="1" ht="19.5" customHeight="1" thickTop="1">
      <c r="A12" s="28"/>
      <c r="B12" s="154" t="s">
        <v>13</v>
      </c>
      <c r="C12" s="167" t="s">
        <v>14</v>
      </c>
      <c r="D12" s="171" t="s">
        <v>15</v>
      </c>
      <c r="E12" s="28"/>
      <c r="F12" s="28"/>
      <c r="G12" s="28"/>
      <c r="H12" s="62"/>
      <c r="I12" s="28"/>
      <c r="J12" s="28"/>
      <c r="K12" s="79"/>
      <c r="L12" s="79"/>
    </row>
    <row r="13" spans="1:12" s="33" customFormat="1" ht="19.5" customHeight="1" thickBot="1">
      <c r="A13" s="63"/>
      <c r="B13" s="155"/>
      <c r="C13" s="168"/>
      <c r="D13" s="172" t="s">
        <v>18</v>
      </c>
      <c r="E13" s="63"/>
      <c r="F13" s="63"/>
      <c r="G13" s="63"/>
      <c r="H13" s="63"/>
      <c r="I13" s="63"/>
      <c r="J13" s="63"/>
      <c r="K13" s="63"/>
      <c r="L13" s="63"/>
    </row>
    <row r="14" spans="1:12" s="34" customFormat="1" ht="19.5" customHeight="1" thickTop="1">
      <c r="A14" s="63"/>
      <c r="B14" s="37">
        <v>1</v>
      </c>
      <c r="C14" s="191" t="s">
        <v>51</v>
      </c>
      <c r="D14" s="191"/>
      <c r="E14" s="191"/>
      <c r="F14" s="192"/>
      <c r="G14" s="63"/>
      <c r="H14" s="63"/>
      <c r="I14" s="63"/>
      <c r="J14" s="63"/>
      <c r="K14" s="79"/>
      <c r="L14" s="79"/>
    </row>
    <row r="15" spans="1:12" s="34" customFormat="1" ht="15.75" thickBot="1">
      <c r="A15" s="63"/>
      <c r="B15" s="43">
        <v>2</v>
      </c>
      <c r="C15" s="193"/>
      <c r="D15" s="193"/>
      <c r="E15" s="194"/>
      <c r="F15" s="195"/>
      <c r="G15" s="63"/>
      <c r="H15" s="63"/>
      <c r="I15" s="63"/>
      <c r="J15" s="63"/>
      <c r="K15" s="63"/>
      <c r="L15" s="63"/>
    </row>
    <row r="16" spans="1:12" ht="19.5" customHeight="1" thickTop="1">
      <c r="A16" s="28"/>
      <c r="B16" s="43">
        <v>3</v>
      </c>
      <c r="C16" s="44">
        <f>Indices!F7</f>
        <v>432</v>
      </c>
      <c r="D16" s="65">
        <f>ROUNDDOWN($E$7*C16/12,2)-ROUNDDOWN($E$7*C16/12,2)*Intro!$F$7-ROUNDDOWN($E$7*C16/12,2)*Intro!$F$17*Intro!$F$19-ROUNDDOWN($E$7*C16/12,2)*Intro!$F$17*Intro!$F$21-(ROUNDDOWN($E$7*C16/12,2)-ROUNDDOWN($E$7*C16/12,2)*Intro!$F$7)*0.01</f>
        <v>1656.90993492</v>
      </c>
      <c r="E16" s="185" t="s">
        <v>45</v>
      </c>
      <c r="F16" s="185"/>
      <c r="G16" s="186"/>
      <c r="H16" s="63"/>
      <c r="I16" s="63"/>
      <c r="J16" s="63"/>
      <c r="K16" s="63"/>
      <c r="L16" s="79"/>
    </row>
    <row r="17" spans="2:11" ht="19.5" customHeight="1" thickBot="1">
      <c r="B17" s="43">
        <v>4</v>
      </c>
      <c r="C17" s="44">
        <f>Indices!F8</f>
        <v>445</v>
      </c>
      <c r="D17" s="65">
        <f>ROUNDDOWN($E$7*C17/12,2)-ROUNDDOWN($E$7*C17/12,2)*Intro!$F$7-ROUNDDOWN($E$7*C17/12,2)*Intro!$F$17*Intro!$F$19-ROUNDDOWN($E$7*C17/12,2)*Intro!$F$17*Intro!$F$21-(ROUNDDOWN($E$7*C17/12,2)-ROUNDDOWN($E$7*C17/12,2)*Intro!$F$7)*0.01</f>
        <v>1706.76765933</v>
      </c>
      <c r="E17" s="187"/>
      <c r="F17" s="187"/>
      <c r="G17" s="188"/>
      <c r="H17" s="63"/>
      <c r="I17" s="63"/>
      <c r="J17" s="63"/>
      <c r="K17" s="63"/>
    </row>
    <row r="18" spans="2:12" ht="19.5" customHeight="1" thickTop="1">
      <c r="B18" s="43">
        <v>5</v>
      </c>
      <c r="C18" s="44">
        <f>Indices!F9</f>
        <v>458</v>
      </c>
      <c r="D18" s="65">
        <f>ROUNDDOWN($E$7*C18/12,2)-ROUNDDOWN($E$7*C18/12,2)*Intro!$F$7-ROUNDDOWN($E$7*C18/12,2)*Intro!$F$17*Intro!$F$19-ROUNDDOWN($E$7*C18/12,2)*Intro!$F$17*Intro!$F$21-(ROUNDDOWN($E$7*C18/12,2)-ROUNDDOWN($E$7*C18/12,2)*Intro!$F$7)*0.01</f>
        <v>1756.6336671300003</v>
      </c>
      <c r="E18" s="165" t="s">
        <v>13</v>
      </c>
      <c r="F18" s="169" t="s">
        <v>14</v>
      </c>
      <c r="G18" s="171" t="s">
        <v>15</v>
      </c>
      <c r="H18" s="66" t="s">
        <v>16</v>
      </c>
      <c r="I18" s="84"/>
      <c r="J18" s="84"/>
      <c r="K18" s="84"/>
      <c r="L18" s="81"/>
    </row>
    <row r="19" spans="2:12" ht="19.5" customHeight="1" thickBot="1">
      <c r="B19" s="43">
        <v>6</v>
      </c>
      <c r="C19" s="44">
        <f>Indices!F10</f>
        <v>467</v>
      </c>
      <c r="D19" s="65">
        <f>ROUNDDOWN($E$7*C19/12,2)-ROUNDDOWN($E$7*C19/12,2)*Intro!$F$7-ROUNDDOWN($E$7*C19/12,2)*Intro!$F$17*Intro!$F$19-ROUNDDOWN($E$7*C19/12,2)*Intro!$F$17*Intro!$F$21-(ROUNDDOWN($E$7*C19/12,2)-ROUNDDOWN($E$7*C19/12,2)*Intro!$F$7)*0.01</f>
        <v>1791.1505532600002</v>
      </c>
      <c r="E19" s="166"/>
      <c r="F19" s="170"/>
      <c r="G19" s="172" t="s">
        <v>18</v>
      </c>
      <c r="H19" s="85" t="str">
        <f>"Retraite "&amp;Intro!F7*100&amp;" % du traitement brut"</f>
        <v>Retraite 8,39 % du traitement brut</v>
      </c>
      <c r="I19" s="71"/>
      <c r="J19" s="71"/>
      <c r="K19" s="71"/>
      <c r="L19" s="81"/>
    </row>
    <row r="20" spans="2:11" ht="19.5" customHeight="1" thickTop="1">
      <c r="B20" s="43">
        <v>7</v>
      </c>
      <c r="C20" s="44">
        <f>Indices!F11</f>
        <v>495</v>
      </c>
      <c r="D20" s="65">
        <f>ROUNDDOWN($E$7*C20/12,2)-ROUNDDOWN($E$7*C20/12,2)*Intro!$F$7-ROUNDDOWN($E$7*C20/12,2)*Intro!$F$17*Intro!$F$19-ROUNDDOWN($E$7*C20/12,2)*Intro!$F$17*Intro!$F$21-(ROUNDDOWN($E$7*C20/12,2)-ROUNDDOWN($E$7*C20/12,2)*Intro!$F$7)*0.01</f>
        <v>1898.5447046099996</v>
      </c>
      <c r="E20" s="67">
        <v>1</v>
      </c>
      <c r="F20" s="68">
        <f>Indices!I5</f>
        <v>495</v>
      </c>
      <c r="G20" s="64">
        <f>ROUNDDOWN($E$7*F20/12,2)-ROUNDDOWN($E$7*F20/12,2)*Intro!$F$7-ROUNDDOWN($E$7*F20/12,2)*Intro!$F$17*Intro!$F$19-ROUNDDOWN($E$7*F20/12,2)*Intro!$F$17*Intro!$F$21-(ROUNDDOWN($E$7*F20/12,2)-ROUNDDOWN($E$7*F20/12,2)*Intro!$F$7)*0.01</f>
        <v>1898.5447046099996</v>
      </c>
      <c r="H20" s="163" t="s">
        <v>44</v>
      </c>
      <c r="I20" s="164"/>
      <c r="J20" s="164"/>
      <c r="K20" s="164"/>
    </row>
    <row r="21" spans="2:11" ht="19.5" customHeight="1">
      <c r="B21" s="43">
        <v>8</v>
      </c>
      <c r="C21" s="44">
        <f>Indices!F12</f>
        <v>531</v>
      </c>
      <c r="D21" s="65">
        <f>ROUNDDOWN($E$7*C21/12,2)-ROUNDDOWN($E$7*C21/12,2)*Intro!$F$7-ROUNDDOWN($E$7*C21/12,2)*Intro!$F$17*Intro!$F$19-ROUNDDOWN($E$7*C21/12,2)*Intro!$F$17*Intro!$F$21-(ROUNDDOWN($E$7*C21/12,2)-ROUNDDOWN($E$7*C21/12,2)*Intro!$F$7)*0.01</f>
        <v>2036.6205325199999</v>
      </c>
      <c r="E21" s="69">
        <v>2</v>
      </c>
      <c r="F21" s="70">
        <f>Indices!I6</f>
        <v>560</v>
      </c>
      <c r="G21" s="65">
        <f>ROUNDDOWN($E$7*F21/12,2)-ROUNDDOWN($E$7*F21/12,2)*Intro!$F$7-ROUNDDOWN($E$7*F21/12,2)*Intro!$F$17*Intro!$F$19-ROUNDDOWN($E$7*F21/12,2)*Intro!$F$17*Intro!$F$21-(ROUNDDOWN($E$7*F21/12,2)-ROUNDDOWN($E$7*F21/12,2)*Intro!$F$7)*0.01</f>
        <v>2147.84989344</v>
      </c>
      <c r="H21" s="163"/>
      <c r="I21" s="164"/>
      <c r="J21" s="164"/>
      <c r="K21" s="164"/>
    </row>
    <row r="22" spans="2:11" ht="19.5" customHeight="1">
      <c r="B22" s="43">
        <v>9</v>
      </c>
      <c r="C22" s="44">
        <f>Indices!F13</f>
        <v>567</v>
      </c>
      <c r="D22" s="65">
        <f>ROUNDDOWN($E$7*C22/12,2)-ROUNDDOWN($E$7*C22/12,2)*Intro!$F$7-ROUNDDOWN($E$7*C22/12,2)*Intro!$F$17*Intro!$F$19-ROUNDDOWN($E$7*C22/12,2)*Intro!$F$17*Intro!$F$21-(ROUNDDOWN($E$7*C22/12,2)-ROUNDDOWN($E$7*C22/12,2)*Intro!$F$7)*0.01</f>
        <v>2174.69636043</v>
      </c>
      <c r="E22" s="69">
        <v>3</v>
      </c>
      <c r="F22" s="70">
        <f>Indices!I7</f>
        <v>601</v>
      </c>
      <c r="G22" s="65">
        <f>ROUNDDOWN($E$7*F22/12,2)-ROUNDDOWN($E$7*F22/12,2)*Intro!$F$7-ROUNDDOWN($E$7*F22/12,2)*Intro!$F$17*Intro!$F$19-ROUNDDOWN($E$7*F22/12,2)*Intro!$F$17*Intro!$F$21-(ROUNDDOWN($E$7*F22/12,2)-ROUNDDOWN($E$7*F22/12,2)*Intro!$F$7)*0.01</f>
        <v>2305.1017692</v>
      </c>
      <c r="H22" s="85" t="str">
        <f>"CRDS "&amp;Intro!F21*100&amp;"% (sur "&amp;Intro!F17*100&amp;"% de tous les revenus, dont IRL)"</f>
        <v>CRDS 0,5% (sur 98,25% de tous les revenus, dont IRL)</v>
      </c>
      <c r="I22" s="86"/>
      <c r="J22" s="86"/>
      <c r="K22" s="71"/>
    </row>
    <row r="23" spans="2:11" ht="19.5" customHeight="1">
      <c r="B23" s="43">
        <v>10</v>
      </c>
      <c r="C23" s="44">
        <f>Indices!F14</f>
        <v>612</v>
      </c>
      <c r="D23" s="65">
        <f>ROUNDDOWN($E$7*C23/12,2)-ROUNDDOWN($E$7*C23/12,2)*Intro!$F$7-ROUNDDOWN($E$7*C23/12,2)*Intro!$F$17*Intro!$F$19-ROUNDDOWN($E$7*C23/12,2)*Intro!$F$17*Intro!$F$21-(ROUNDDOWN($E$7*C23/12,2)-ROUNDDOWN($E$7*C23/12,2)*Intro!$F$7)*0.01</f>
        <v>2347.2890744700003</v>
      </c>
      <c r="E23" s="69">
        <v>4</v>
      </c>
      <c r="F23" s="70">
        <f>Indices!I8</f>
        <v>642</v>
      </c>
      <c r="G23" s="65">
        <f>ROUNDDOWN($E$7*F23/12,2)-ROUNDDOWN($E$7*F23/12,2)*Intro!$F$7-ROUNDDOWN($E$7*F23/12,2)*Intro!$F$17*Intro!$F$19-ROUNDDOWN($E$7*F23/12,2)*Intro!$F$17*Intro!$F$21-(ROUNDDOWN($E$7*F23/12,2)-ROUNDDOWN($E$7*F23/12,2)*Intro!$F$7)*0.01</f>
        <v>2462.3536449599997</v>
      </c>
      <c r="H23" s="85" t="str">
        <f>"CSG "&amp;Intro!F19*100&amp;"% (sur "&amp;Intro!F17*100&amp;"% de tous les revenus, dont IRL)"</f>
        <v>CSG 7,5% (sur 98,25% de tous les revenus, dont IRL)</v>
      </c>
      <c r="I23" s="71"/>
      <c r="J23" s="71"/>
      <c r="K23" s="71"/>
    </row>
    <row r="24" spans="2:11" ht="19.5" customHeight="1" thickBot="1">
      <c r="B24" s="48">
        <v>11</v>
      </c>
      <c r="C24" s="49">
        <f>Indices!F15</f>
        <v>658</v>
      </c>
      <c r="D24" s="72">
        <f>ROUNDDOWN($E$7*C24/12,2)-ROUNDDOWN($E$7*C24/12,2)*Intro!$F$7-ROUNDDOWN($E$7*C24/12,2)*Intro!$F$17*Intro!$F$19-ROUNDDOWN($E$7*C24/12,2)*Intro!$F$17*Intro!$F$21-(ROUNDDOWN($E$7*C24/12,2)-ROUNDDOWN($E$7*C24/12,2)*Intro!$F$7)*0.01</f>
        <v>2523.72528147</v>
      </c>
      <c r="E24" s="69">
        <v>5</v>
      </c>
      <c r="F24" s="70">
        <f>Indices!I9</f>
        <v>695</v>
      </c>
      <c r="G24" s="65">
        <f>ROUNDDOWN($E$7*F24/12,2)-ROUNDDOWN($E$7*F24/12,2)*Intro!$F$7-ROUNDDOWN($E$7*F24/12,2)*Intro!$F$17*Intro!$F$19-ROUNDDOWN($E$7*F24/12,2)*Intro!$F$17*Intro!$F$21-(ROUNDDOWN($E$7*F24/12,2)-ROUNDDOWN($E$7*F24/12,2)*Intro!$F$7)*0.01</f>
        <v>2665.63631895</v>
      </c>
      <c r="H24" s="163" t="s">
        <v>41</v>
      </c>
      <c r="I24" s="164"/>
      <c r="J24" s="164"/>
      <c r="K24" s="164"/>
    </row>
    <row r="25" spans="5:11" ht="19.5" customHeight="1" thickTop="1">
      <c r="E25" s="43">
        <v>6</v>
      </c>
      <c r="F25" s="70">
        <f>Indices!I10</f>
        <v>741</v>
      </c>
      <c r="G25" s="65">
        <f>ROUNDDOWN($E$7*F25/12,2)-ROUNDDOWN($E$7*F25/12,2)*Intro!$F$7-ROUNDDOWN($E$7*F25/12,2)*Intro!$F$17*Intro!$F$19-ROUNDDOWN($E$7*F25/12,2)*Intro!$F$17*Intro!$F$21-(ROUNDDOWN($E$7*F25/12,2)-ROUNDDOWN($E$7*F25/12,2)*Intro!$F$7)*0.01</f>
        <v>2842.06424256</v>
      </c>
      <c r="H25" s="163"/>
      <c r="I25" s="164"/>
      <c r="J25" s="164"/>
      <c r="K25" s="164"/>
    </row>
    <row r="26" spans="3:9" ht="19.5" customHeight="1" thickBot="1">
      <c r="C26" s="28"/>
      <c r="D26" s="28"/>
      <c r="E26" s="48">
        <v>7</v>
      </c>
      <c r="F26" s="73">
        <f>Indices!I11</f>
        <v>783</v>
      </c>
      <c r="G26" s="72">
        <f>ROUNDDOWN($E$7*F26/12,2)-ROUNDDOWN($E$7*F26/12,2)*Intro!$F$7-ROUNDDOWN($E$7*F26/12,2)*Intro!$F$17*Intro!$F$19-ROUNDDOWN($E$7*F26/12,2)*Intro!$F$17*Intro!$F$21-(ROUNDDOWN($E$7*F26/12,2)-ROUNDDOWN($E$7*F26/12,2)*Intro!$F$7)*0.01</f>
        <v>3003.1513278900006</v>
      </c>
      <c r="I26" s="88"/>
    </row>
    <row r="27" spans="3:9" ht="19.5" customHeight="1" thickTop="1">
      <c r="C27" s="63"/>
      <c r="D27" s="63"/>
      <c r="I27" s="89"/>
    </row>
    <row r="28" spans="1:12" s="56" customFormat="1" ht="15" thickBot="1">
      <c r="A28" s="28"/>
      <c r="B28" s="28"/>
      <c r="C28" s="28"/>
      <c r="D28" s="28"/>
      <c r="E28" s="28"/>
      <c r="F28" s="28"/>
      <c r="G28" s="28"/>
      <c r="H28" s="28"/>
      <c r="I28" s="28"/>
      <c r="J28" s="77" t="s">
        <v>37</v>
      </c>
      <c r="K28" s="28"/>
      <c r="L28" s="28"/>
    </row>
    <row r="29" spans="1:12" s="56" customFormat="1" ht="39.75" customHeight="1" thickBot="1" thickTop="1">
      <c r="A29" s="33"/>
      <c r="B29" s="32"/>
      <c r="C29" s="156" t="s">
        <v>12</v>
      </c>
      <c r="D29" s="157"/>
      <c r="E29" s="157"/>
      <c r="F29" s="157"/>
      <c r="G29" s="157"/>
      <c r="H29" s="157"/>
      <c r="I29" s="157"/>
      <c r="J29" s="158"/>
      <c r="K29" s="33"/>
      <c r="L29" s="33"/>
    </row>
    <row r="30" spans="1:12" ht="19.5" customHeight="1" thickBot="1" thickTop="1">
      <c r="A30" s="33"/>
      <c r="B30" s="32"/>
      <c r="C30" s="182" t="s">
        <v>26</v>
      </c>
      <c r="D30" s="183"/>
      <c r="E30" s="182" t="s">
        <v>0</v>
      </c>
      <c r="F30" s="183"/>
      <c r="G30" s="183"/>
      <c r="H30" s="182" t="s">
        <v>1</v>
      </c>
      <c r="I30" s="183"/>
      <c r="J30" s="184"/>
      <c r="K30" s="33"/>
      <c r="L30" s="33"/>
    </row>
    <row r="31" spans="1:13" s="28" customFormat="1" ht="19.5" customHeight="1" thickTop="1">
      <c r="A31" s="34"/>
      <c r="B31" s="154" t="s">
        <v>13</v>
      </c>
      <c r="C31" s="167" t="s">
        <v>14</v>
      </c>
      <c r="D31" s="171" t="s">
        <v>15</v>
      </c>
      <c r="E31" s="167" t="s">
        <v>14</v>
      </c>
      <c r="F31" s="197" t="s">
        <v>15</v>
      </c>
      <c r="G31" s="165"/>
      <c r="H31" s="169" t="s">
        <v>14</v>
      </c>
      <c r="I31" s="197" t="s">
        <v>15</v>
      </c>
      <c r="J31" s="165"/>
      <c r="K31" s="34"/>
      <c r="L31" s="34"/>
      <c r="M31" s="79"/>
    </row>
    <row r="32" spans="1:12" s="63" customFormat="1" ht="19.5" customHeight="1" thickBot="1">
      <c r="A32" s="34"/>
      <c r="B32" s="155"/>
      <c r="C32" s="168"/>
      <c r="D32" s="172"/>
      <c r="E32" s="198"/>
      <c r="F32" s="35" t="s">
        <v>27</v>
      </c>
      <c r="G32" s="35" t="s">
        <v>28</v>
      </c>
      <c r="H32" s="170"/>
      <c r="I32" s="35" t="s">
        <v>27</v>
      </c>
      <c r="J32" s="35" t="s">
        <v>28</v>
      </c>
      <c r="K32" s="34"/>
      <c r="L32" s="34"/>
    </row>
    <row r="33" spans="1:13" s="63" customFormat="1" ht="19.5" customHeight="1" thickTop="1">
      <c r="A33" s="22"/>
      <c r="B33" s="37">
        <v>1</v>
      </c>
      <c r="C33" s="38">
        <f>Indices!C5</f>
        <v>341</v>
      </c>
      <c r="D33" s="41">
        <f>ROUNDDOWN($E$7*C33/12,2)-ROUNDDOWN($E$7*C33/12,2)*Intro!$F$7-ROUNDDOWN($E$7*C33/12,2)*Intro!$F$17*Intro!$F$19-ROUNDDOWN($E$7*C33/12,2)*Intro!$F$17*Intro!$F$21-(ROUNDDOWN($E$7*C33/12,2)-ROUNDDOWN($E$7*C33/12,2)*Intro!$F$7)*0.01</f>
        <v>1307.8810138800002</v>
      </c>
      <c r="E33" s="40">
        <f>C33</f>
        <v>341</v>
      </c>
      <c r="F33" s="41">
        <f>ROUNDDOWN($E$7*E33/12,2)-ROUNDDOWN($E$7*E33/12,2)*Intro!$F$7-(ROUNDDOWN($E$7*E33/12,2)+ROUNDDOWN($G$45,2))*Intro!$F$17*Intro!$F$19-(ROUNDDOWN($E$7*E33/12,2)+ROUNDDOWN($G$45,2))*Intro!$F$17*Intro!$F$21-(ROUNDDOWN($E$7*E33/12,2)-ROUNDDOWN($E$7*E33/12,2)*Intro!$F$7-ROUND($G$45*0.05,2))*0.01-ROUND($G$45*0.05,2)</f>
        <v>1307.8810138800002</v>
      </c>
      <c r="G33" s="41">
        <f aca="true" t="shared" si="0" ref="G33:G43">F33+$G$45</f>
        <v>1307.8810138800002</v>
      </c>
      <c r="H33" s="40">
        <f>C33</f>
        <v>341</v>
      </c>
      <c r="I33" s="41">
        <f>ROUNDDOWN($E$7*H33/12,2)-ROUNDDOWN($E$7*H33/12,2)*Intro!$F$7-(ROUNDDOWN($E$7*H33/12,2)+ROUNDDOWN($J$45,2))*Intro!$F$17*Intro!$F$19-(ROUNDDOWN($E$7*H33/12,2)+ROUNDDOWN($J$45,2))*Intro!$F$17*Intro!$F$21-(ROUNDDOWN($E$7*H33/12,2)-ROUNDDOWN($E$7*H33/12,2)*Intro!$F$7-ROUND($J$45*0.05,2))*0.01-ROUND($J$45*0.05,2)</f>
        <v>1307.8810138800002</v>
      </c>
      <c r="J33" s="41">
        <f aca="true" t="shared" si="1" ref="J33:J43">I33+$J$45</f>
        <v>1307.8810138800002</v>
      </c>
      <c r="K33" s="22"/>
      <c r="L33" s="22"/>
      <c r="M33" s="79"/>
    </row>
    <row r="34" spans="1:12" s="63" customFormat="1" ht="19.5" customHeight="1">
      <c r="A34" s="22"/>
      <c r="B34" s="43">
        <v>2</v>
      </c>
      <c r="C34" s="44">
        <f>Indices!C6</f>
        <v>357</v>
      </c>
      <c r="D34" s="46">
        <f>ROUNDDOWN($E$7*C34/12,2)-ROUNDDOWN($E$7*C34/12,2)*Intro!$F$7-ROUNDDOWN($E$7*C34/12,2)*Intro!$F$17*Intro!$F$19-ROUNDDOWN($E$7*C34/12,2)*Intro!$F$17*Intro!$F$21-(ROUNDDOWN($E$7*C34/12,2)-ROUNDDOWN($E$7*C34/12,2)*Intro!$F$7)*0.01</f>
        <v>1369.2526503899999</v>
      </c>
      <c r="E34" s="44">
        <f aca="true" t="shared" si="2" ref="E34:E43">C34</f>
        <v>357</v>
      </c>
      <c r="F34" s="46">
        <f>ROUNDDOWN($E$7*E34/12,2)-ROUNDDOWN($E$7*E34/12,2)*Intro!$F$7-(ROUNDDOWN($E$7*E34/12,2)+ROUNDDOWN($G$45,2))*Intro!$F$17*Intro!$F$19-(ROUNDDOWN($E$7*E34/12,2)+ROUNDDOWN($G$45,2))*Intro!$F$17*Intro!$F$21-(ROUNDDOWN($E$7*E34/12,2)-ROUNDDOWN($E$7*E34/12,2)*Intro!$F$7-ROUND($G$45*0.05,2))*0.01-ROUND($G$45*0.05,2)</f>
        <v>1369.2526503899999</v>
      </c>
      <c r="G34" s="46">
        <f t="shared" si="0"/>
        <v>1369.2526503899999</v>
      </c>
      <c r="H34" s="44">
        <f aca="true" t="shared" si="3" ref="H34:H43">C34</f>
        <v>357</v>
      </c>
      <c r="I34" s="46">
        <f>ROUNDDOWN($E$7*H34/12,2)-ROUNDDOWN($E$7*H34/12,2)*Intro!$F$7-(ROUNDDOWN($E$7*H34/12,2)+ROUNDDOWN($J$45,2))*Intro!$F$17*Intro!$F$19-(ROUNDDOWN($E$7*H34/12,2)+ROUNDDOWN($J$45,2))*Intro!$F$17*Intro!$F$21-(ROUNDDOWN($E$7*H34/12,2)-ROUNDDOWN($E$7*H34/12,2)*Intro!$F$7-ROUND($J$45*0.05,2))*0.01-ROUND($J$45*0.05,2)</f>
        <v>1369.2526503899999</v>
      </c>
      <c r="J34" s="46">
        <f t="shared" si="1"/>
        <v>1369.2526503899999</v>
      </c>
      <c r="K34" s="22"/>
      <c r="L34" s="22"/>
    </row>
    <row r="35" spans="1:12" s="28" customFormat="1" ht="19.5" customHeight="1">
      <c r="A35" s="22"/>
      <c r="B35" s="43">
        <v>3</v>
      </c>
      <c r="C35" s="44">
        <f>Indices!C7</f>
        <v>366</v>
      </c>
      <c r="D35" s="46">
        <f>ROUNDDOWN($E$7*C35/12,2)-ROUNDDOWN($E$7*C35/12,2)*Intro!$F$7-ROUNDDOWN($E$7*C35/12,2)*Intro!$F$17*Intro!$F$19-ROUNDDOWN($E$7*C35/12,2)*Intro!$F$17*Intro!$F$21-(ROUNDDOWN($E$7*C35/12,2)-ROUNDDOWN($E$7*C35/12,2)*Intro!$F$7)*0.01</f>
        <v>1403.7695365200002</v>
      </c>
      <c r="E35" s="44">
        <f t="shared" si="2"/>
        <v>366</v>
      </c>
      <c r="F35" s="46">
        <f>ROUNDDOWN($E$7*E35/12,2)-ROUNDDOWN($E$7*E35/12,2)*Intro!$F$7-(ROUNDDOWN($E$7*E35/12,2)+ROUNDDOWN($G$45,2))*Intro!$F$17*Intro!$F$19-(ROUNDDOWN($E$7*E35/12,2)+ROUNDDOWN($G$45,2))*Intro!$F$17*Intro!$F$21-(ROUNDDOWN($E$7*E35/12,2)-ROUNDDOWN($E$7*E35/12,2)*Intro!$F$7-ROUND($G$45*0.05,2))*0.01-ROUND($G$45*0.05,2)</f>
        <v>1403.7695365200002</v>
      </c>
      <c r="G35" s="46">
        <f t="shared" si="0"/>
        <v>1403.7695365200002</v>
      </c>
      <c r="H35" s="44">
        <f t="shared" si="3"/>
        <v>366</v>
      </c>
      <c r="I35" s="46">
        <f>ROUNDDOWN($E$7*H35/12,2)-ROUNDDOWN($E$7*H35/12,2)*Intro!$F$7-(ROUNDDOWN($E$7*H35/12,2)+ROUNDDOWN($J$45,2))*Intro!$F$17*Intro!$F$19-(ROUNDDOWN($E$7*H35/12,2)+ROUNDDOWN($J$45,2))*Intro!$F$17*Intro!$F$21-(ROUNDDOWN($E$7*H35/12,2)-ROUNDDOWN($E$7*H35/12,2)*Intro!$F$7-ROUND($J$45*0.05,2))*0.01-ROUND($J$45*0.05,2)</f>
        <v>1403.7695365200002</v>
      </c>
      <c r="J35" s="46">
        <f t="shared" si="1"/>
        <v>1403.7695365200002</v>
      </c>
      <c r="K35" s="22"/>
      <c r="L35" s="22"/>
    </row>
    <row r="36" spans="2:10" ht="19.5" customHeight="1">
      <c r="B36" s="43">
        <v>4</v>
      </c>
      <c r="C36" s="44">
        <f>Indices!C8</f>
        <v>373</v>
      </c>
      <c r="D36" s="46">
        <f>ROUNDDOWN($E$7*C36/12,2)-ROUNDDOWN($E$7*C36/12,2)*Intro!$F$7-ROUNDDOWN($E$7*C36/12,2)*Intro!$F$17*Intro!$F$19-ROUNDDOWN($E$7*C36/12,2)*Intro!$F$17*Intro!$F$21-(ROUNDDOWN($E$7*C36/12,2)-ROUNDDOWN($E$7*C36/12,2)*Intro!$F$7)*0.01</f>
        <v>1430.61600351</v>
      </c>
      <c r="E36" s="44">
        <f t="shared" si="2"/>
        <v>373</v>
      </c>
      <c r="F36" s="46">
        <f>ROUNDDOWN($E$7*E36/12,2)-ROUNDDOWN($E$7*E36/12,2)*Intro!$F$7-(ROUNDDOWN($E$7*E36/12,2)+ROUNDDOWN($G$45,2))*Intro!$F$17*Intro!$F$19-(ROUNDDOWN($E$7*E36/12,2)+ROUNDDOWN($G$45,2))*Intro!$F$17*Intro!$F$21-(ROUNDDOWN($E$7*E36/12,2)-ROUNDDOWN($E$7*E36/12,2)*Intro!$F$7-ROUND($G$45*0.05,2))*0.01-ROUND($G$45*0.05,2)</f>
        <v>1430.61600351</v>
      </c>
      <c r="G36" s="46">
        <f t="shared" si="0"/>
        <v>1430.61600351</v>
      </c>
      <c r="H36" s="44">
        <f t="shared" si="3"/>
        <v>373</v>
      </c>
      <c r="I36" s="46">
        <f>ROUNDDOWN($E$7*H36/12,2)-ROUNDDOWN($E$7*H36/12,2)*Intro!$F$7-(ROUNDDOWN($E$7*H36/12,2)+ROUNDDOWN($J$45,2))*Intro!$F$17*Intro!$F$19-(ROUNDDOWN($E$7*H36/12,2)+ROUNDDOWN($J$45,2))*Intro!$F$17*Intro!$F$21-(ROUNDDOWN($E$7*H36/12,2)-ROUNDDOWN($E$7*H36/12,2)*Intro!$F$7-ROUND($J$45*0.05,2))*0.01-ROUND($J$45*0.05,2)</f>
        <v>1430.61600351</v>
      </c>
      <c r="J36" s="46">
        <f t="shared" si="1"/>
        <v>1430.61600351</v>
      </c>
    </row>
    <row r="37" spans="2:10" ht="19.5" customHeight="1">
      <c r="B37" s="43">
        <v>5</v>
      </c>
      <c r="C37" s="44">
        <f>Indices!C9</f>
        <v>383</v>
      </c>
      <c r="D37" s="46">
        <f>ROUNDDOWN($E$7*C37/12,2)-ROUNDDOWN($E$7*C37/12,2)*Intro!$F$7-ROUNDDOWN($E$7*C37/12,2)*Intro!$F$17*Intro!$F$19-ROUNDDOWN($E$7*C37/12,2)*Intro!$F$17*Intro!$F$21-(ROUNDDOWN($E$7*C37/12,2)-ROUNDDOWN($E$7*C37/12,2)*Intro!$F$7)*0.01</f>
        <v>1468.9763826</v>
      </c>
      <c r="E37" s="44">
        <f t="shared" si="2"/>
        <v>383</v>
      </c>
      <c r="F37" s="46">
        <f>ROUNDDOWN($E$7*E37/12,2)-ROUNDDOWN($E$7*E37/12,2)*Intro!$F$7-(ROUNDDOWN($E$7*E37/12,2)+ROUNDDOWN($G$45,2))*Intro!$F$17*Intro!$F$19-(ROUNDDOWN($E$7*E37/12,2)+ROUNDDOWN($G$45,2))*Intro!$F$17*Intro!$F$21-(ROUNDDOWN($E$7*E37/12,2)-ROUNDDOWN($E$7*E37/12,2)*Intro!$F$7-ROUND($G$45*0.05,2))*0.01-ROUND($G$45*0.05,2)</f>
        <v>1468.9763826</v>
      </c>
      <c r="G37" s="46">
        <f t="shared" si="0"/>
        <v>1468.9763826</v>
      </c>
      <c r="H37" s="44">
        <f t="shared" si="3"/>
        <v>383</v>
      </c>
      <c r="I37" s="46">
        <f>ROUNDDOWN($E$7*H37/12,2)-ROUNDDOWN($E$7*H37/12,2)*Intro!$F$7-(ROUNDDOWN($E$7*H37/12,2)+ROUNDDOWN($J$45,2))*Intro!$F$17*Intro!$F$19-(ROUNDDOWN($E$7*H37/12,2)+ROUNDDOWN($J$45,2))*Intro!$F$17*Intro!$F$21-(ROUNDDOWN($E$7*H37/12,2)-ROUNDDOWN($E$7*H37/12,2)*Intro!$F$7-ROUND($J$45*0.05,2))*0.01-ROUND($J$45*0.05,2)</f>
        <v>1468.9763826</v>
      </c>
      <c r="J37" s="46">
        <f t="shared" si="1"/>
        <v>1468.9763826</v>
      </c>
    </row>
    <row r="38" spans="2:10" ht="19.5" customHeight="1">
      <c r="B38" s="43">
        <v>6</v>
      </c>
      <c r="C38" s="44">
        <f>Indices!C10</f>
        <v>390</v>
      </c>
      <c r="D38" s="46">
        <f>ROUNDDOWN($E$7*C38/12,2)-ROUNDDOWN($E$7*C38/12,2)*Intro!$F$7-ROUNDDOWN($E$7*C38/12,2)*Intro!$F$17*Intro!$F$19-ROUNDDOWN($E$7*C38/12,2)*Intro!$F$17*Intro!$F$21-(ROUNDDOWN($E$7*C38/12,2)-ROUNDDOWN($E$7*C38/12,2)*Intro!$F$7)*0.01</f>
        <v>1495.82284959</v>
      </c>
      <c r="E38" s="44">
        <f t="shared" si="2"/>
        <v>390</v>
      </c>
      <c r="F38" s="46">
        <f>ROUNDDOWN($E$7*E38/12,2)-ROUNDDOWN($E$7*E38/12,2)*Intro!$F$7-(ROUNDDOWN($E$7*E38/12,2)+ROUNDDOWN($G$45,2))*Intro!$F$17*Intro!$F$19-(ROUNDDOWN($E$7*E38/12,2)+ROUNDDOWN($G$45,2))*Intro!$F$17*Intro!$F$21-(ROUNDDOWN($E$7*E38/12,2)-ROUNDDOWN($E$7*E38/12,2)*Intro!$F$7-ROUND($G$45*0.05,2))*0.01-ROUND($G$45*0.05,2)</f>
        <v>1495.82284959</v>
      </c>
      <c r="G38" s="46">
        <f t="shared" si="0"/>
        <v>1495.82284959</v>
      </c>
      <c r="H38" s="44">
        <f t="shared" si="3"/>
        <v>390</v>
      </c>
      <c r="I38" s="46">
        <f>ROUNDDOWN($E$7*H38/12,2)-ROUNDDOWN($E$7*H38/12,2)*Intro!$F$7-(ROUNDDOWN($E$7*H38/12,2)+ROUNDDOWN($J$45,2))*Intro!$F$17*Intro!$F$19-(ROUNDDOWN($E$7*H38/12,2)+ROUNDDOWN($J$45,2))*Intro!$F$17*Intro!$F$21-(ROUNDDOWN($E$7*H38/12,2)-ROUNDDOWN($E$7*H38/12,2)*Intro!$F$7-ROUND($J$45*0.05,2))*0.01-ROUND($J$45*0.05,2)</f>
        <v>1495.82284959</v>
      </c>
      <c r="J38" s="46">
        <f t="shared" si="1"/>
        <v>1495.82284959</v>
      </c>
    </row>
    <row r="39" spans="2:10" ht="19.5" customHeight="1">
      <c r="B39" s="43">
        <v>7</v>
      </c>
      <c r="C39" s="44">
        <f>Indices!C11</f>
        <v>399</v>
      </c>
      <c r="D39" s="46">
        <f>ROUNDDOWN($E$7*C39/12,2)-ROUNDDOWN($E$7*C39/12,2)*Intro!$F$7-ROUNDDOWN($E$7*C39/12,2)*Intro!$F$17*Intro!$F$19-ROUNDDOWN($E$7*C39/12,2)*Intro!$F$17*Intro!$F$21-(ROUNDDOWN($E$7*C39/12,2)-ROUNDDOWN($E$7*C39/12,2)*Intro!$F$7)*0.01</f>
        <v>1530.33973572</v>
      </c>
      <c r="E39" s="44">
        <f t="shared" si="2"/>
        <v>399</v>
      </c>
      <c r="F39" s="46">
        <f>ROUNDDOWN($E$7*E39/12,2)-ROUNDDOWN($E$7*E39/12,2)*Intro!$F$7-(ROUNDDOWN($E$7*E39/12,2)+ROUNDDOWN($G$45,2))*Intro!$F$17*Intro!$F$19-(ROUNDDOWN($E$7*E39/12,2)+ROUNDDOWN($G$45,2))*Intro!$F$17*Intro!$F$21-(ROUNDDOWN($E$7*E39/12,2)-ROUNDDOWN($E$7*E39/12,2)*Intro!$F$7-ROUND($G$45*0.05,2))*0.01-ROUND($G$45*0.05,2)</f>
        <v>1530.33973572</v>
      </c>
      <c r="G39" s="46">
        <f t="shared" si="0"/>
        <v>1530.33973572</v>
      </c>
      <c r="H39" s="44">
        <f t="shared" si="3"/>
        <v>399</v>
      </c>
      <c r="I39" s="46">
        <f>ROUNDDOWN($E$7*H39/12,2)-ROUNDDOWN($E$7*H39/12,2)*Intro!$F$7-(ROUNDDOWN($E$7*H39/12,2)+ROUNDDOWN($J$45,2))*Intro!$F$17*Intro!$F$19-(ROUNDDOWN($E$7*H39/12,2)+ROUNDDOWN($J$45,2))*Intro!$F$17*Intro!$F$21-(ROUNDDOWN($E$7*H39/12,2)-ROUNDDOWN($E$7*H39/12,2)*Intro!$F$7-ROUND($J$45*0.05,2))*0.01-ROUND($J$45*0.05,2)</f>
        <v>1530.33973572</v>
      </c>
      <c r="J39" s="46">
        <f t="shared" si="1"/>
        <v>1530.33973572</v>
      </c>
    </row>
    <row r="40" spans="2:10" ht="19.5" customHeight="1">
      <c r="B40" s="43">
        <v>8</v>
      </c>
      <c r="C40" s="44">
        <f>Indices!C12</f>
        <v>420</v>
      </c>
      <c r="D40" s="46">
        <f>ROUNDDOWN($E$7*C40/12,2)-ROUNDDOWN($E$7*C40/12,2)*Intro!$F$7-ROUNDDOWN($E$7*C40/12,2)*Intro!$F$17*Intro!$F$19-ROUNDDOWN($E$7*C40/12,2)*Intro!$F$17*Intro!$F$21-(ROUNDDOWN($E$7*C40/12,2)-ROUNDDOWN($E$7*C40/12,2)*Intro!$F$7)*0.01</f>
        <v>1610.88742008</v>
      </c>
      <c r="E40" s="44">
        <f t="shared" si="2"/>
        <v>420</v>
      </c>
      <c r="F40" s="46">
        <f>ROUNDDOWN($E$7*E40/12,2)-ROUNDDOWN($E$7*E40/12,2)*Intro!$F$7-(ROUNDDOWN($E$7*E40/12,2)+ROUNDDOWN($G$45,2))*Intro!$F$17*Intro!$F$19-(ROUNDDOWN($E$7*E40/12,2)+ROUNDDOWN($G$45,2))*Intro!$F$17*Intro!$F$21-(ROUNDDOWN($E$7*E40/12,2)-ROUNDDOWN($E$7*E40/12,2)*Intro!$F$7-ROUND($G$45*0.05,2))*0.01-ROUND($G$45*0.05,2)</f>
        <v>1610.88742008</v>
      </c>
      <c r="G40" s="46">
        <f t="shared" si="0"/>
        <v>1610.88742008</v>
      </c>
      <c r="H40" s="44">
        <f t="shared" si="3"/>
        <v>420</v>
      </c>
      <c r="I40" s="46">
        <f>ROUNDDOWN($E$7*H40/12,2)-ROUNDDOWN($E$7*H40/12,2)*Intro!$F$7-(ROUNDDOWN($E$7*H40/12,2)+ROUNDDOWN($J$45,2))*Intro!$F$17*Intro!$F$19-(ROUNDDOWN($E$7*H40/12,2)+ROUNDDOWN($J$45,2))*Intro!$F$17*Intro!$F$21-(ROUNDDOWN($E$7*H40/12,2)-ROUNDDOWN($E$7*H40/12,2)*Intro!$F$7-ROUND($J$45*0.05,2))*0.01-ROUND($J$45*0.05,2)</f>
        <v>1610.88742008</v>
      </c>
      <c r="J40" s="46">
        <f t="shared" si="1"/>
        <v>1610.88742008</v>
      </c>
    </row>
    <row r="41" spans="2:10" ht="19.5" customHeight="1">
      <c r="B41" s="43">
        <v>9</v>
      </c>
      <c r="C41" s="44">
        <f>Indices!C13</f>
        <v>441</v>
      </c>
      <c r="D41" s="46">
        <f>ROUNDDOWN($E$7*C41/12,2)-ROUNDDOWN($E$7*C41/12,2)*Intro!$F$7-ROUNDDOWN($E$7*C41/12,2)*Intro!$F$17*Intro!$F$19-ROUNDDOWN($E$7*C41/12,2)*Intro!$F$17*Intro!$F$21-(ROUNDDOWN($E$7*C41/12,2)-ROUNDDOWN($E$7*C41/12,2)*Intro!$F$7)*0.01</f>
        <v>1691.4268210500002</v>
      </c>
      <c r="E41" s="44">
        <f t="shared" si="2"/>
        <v>441</v>
      </c>
      <c r="F41" s="46">
        <f>ROUNDDOWN($E$7*E41/12,2)-ROUNDDOWN($E$7*E41/12,2)*Intro!$F$7-(ROUNDDOWN($E$7*E41/12,2)+ROUNDDOWN($G$45,2))*Intro!$F$17*Intro!$F$19-(ROUNDDOWN($E$7*E41/12,2)+ROUNDDOWN($G$45,2))*Intro!$F$17*Intro!$F$21-(ROUNDDOWN($E$7*E41/12,2)-ROUNDDOWN($E$7*E41/12,2)*Intro!$F$7-ROUND($G$45*0.05,2))*0.01-ROUND($G$45*0.05,2)</f>
        <v>1691.4268210500002</v>
      </c>
      <c r="G41" s="46">
        <f t="shared" si="0"/>
        <v>1691.4268210500002</v>
      </c>
      <c r="H41" s="44">
        <f t="shared" si="3"/>
        <v>441</v>
      </c>
      <c r="I41" s="46">
        <f>ROUNDDOWN($E$7*H41/12,2)-ROUNDDOWN($E$7*H41/12,2)*Intro!$F$7-(ROUNDDOWN($E$7*H41/12,2)+ROUNDDOWN($J$45,2))*Intro!$F$17*Intro!$F$19-(ROUNDDOWN($E$7*H41/12,2)+ROUNDDOWN($J$45,2))*Intro!$F$17*Intro!$F$21-(ROUNDDOWN($E$7*H41/12,2)-ROUNDDOWN($E$7*H41/12,2)*Intro!$F$7-ROUND($J$45*0.05,2))*0.01-ROUND($J$45*0.05,2)</f>
        <v>1691.4268210500002</v>
      </c>
      <c r="J41" s="46">
        <f t="shared" si="1"/>
        <v>1691.4268210500002</v>
      </c>
    </row>
    <row r="42" spans="2:10" ht="19.5" customHeight="1">
      <c r="B42" s="43">
        <v>10</v>
      </c>
      <c r="C42" s="44">
        <f>Indices!C14</f>
        <v>469</v>
      </c>
      <c r="D42" s="46">
        <f>ROUNDDOWN($E$7*C42/12,2)-ROUNDDOWN($E$7*C42/12,2)*Intro!$F$7-ROUNDDOWN($E$7*C42/12,2)*Intro!$F$17*Intro!$F$19-ROUNDDOWN($E$7*C42/12,2)*Intro!$F$17*Intro!$F$21-(ROUNDDOWN($E$7*C42/12,2)-ROUNDDOWN($E$7*C42/12,2)*Intro!$F$7)*0.01</f>
        <v>1798.8209723999998</v>
      </c>
      <c r="E42" s="44">
        <f t="shared" si="2"/>
        <v>469</v>
      </c>
      <c r="F42" s="46">
        <f>ROUNDDOWN($E$7*E42/12,2)-ROUNDDOWN($E$7*E42/12,2)*Intro!$F$7-(ROUNDDOWN($E$7*E42/12,2)+ROUNDDOWN($G$45,2))*Intro!$F$17*Intro!$F$19-(ROUNDDOWN($E$7*E42/12,2)+ROUNDDOWN($G$45,2))*Intro!$F$17*Intro!$F$21-(ROUNDDOWN($E$7*E42/12,2)-ROUNDDOWN($E$7*E42/12,2)*Intro!$F$7-ROUND($G$45*0.05,2))*0.01-ROUND($G$45*0.05,2)</f>
        <v>1798.8209723999998</v>
      </c>
      <c r="G42" s="46">
        <f t="shared" si="0"/>
        <v>1798.8209723999998</v>
      </c>
      <c r="H42" s="44">
        <f t="shared" si="3"/>
        <v>469</v>
      </c>
      <c r="I42" s="46">
        <f>ROUNDDOWN($E$7*H42/12,2)-ROUNDDOWN($E$7*H42/12,2)*Intro!$F$7-(ROUNDDOWN($E$7*H42/12,2)+ROUNDDOWN($J$45,2))*Intro!$F$17*Intro!$F$19-(ROUNDDOWN($E$7*H42/12,2)+ROUNDDOWN($J$45,2))*Intro!$F$17*Intro!$F$21-(ROUNDDOWN($E$7*H42/12,2)-ROUNDDOWN($E$7*H42/12,2)*Intro!$F$7-ROUND($J$45*0.05,2))*0.01-ROUND($J$45*0.05,2)</f>
        <v>1798.8209723999998</v>
      </c>
      <c r="J42" s="46">
        <f t="shared" si="1"/>
        <v>1798.8209723999998</v>
      </c>
    </row>
    <row r="43" spans="2:10" ht="19.5" customHeight="1" thickBot="1">
      <c r="B43" s="48">
        <v>11</v>
      </c>
      <c r="C43" s="49">
        <f>Indices!C15</f>
        <v>515</v>
      </c>
      <c r="D43" s="51">
        <f>ROUNDDOWN($E$7*C43/12,2)-ROUNDDOWN($E$7*C43/12,2)*Intro!$F$7-ROUNDDOWN($E$7*C43/12,2)*Intro!$F$17*Intro!$F$19-ROUNDDOWN($E$7*C43/12,2)*Intro!$F$17*Intro!$F$21-(ROUNDDOWN($E$7*C43/12,2)-ROUNDDOWN($E$7*C43/12,2)*Intro!$F$7)*0.01</f>
        <v>1975.2571794</v>
      </c>
      <c r="E43" s="49">
        <f t="shared" si="2"/>
        <v>515</v>
      </c>
      <c r="F43" s="51">
        <f>ROUNDDOWN($E$7*E43/12,2)-ROUNDDOWN($E$7*E43/12,2)*Intro!$F$7-(ROUNDDOWN($E$7*E43/12,2)+ROUNDDOWN($G$45,2))*Intro!$F$17*Intro!$F$19-(ROUNDDOWN($E$7*E43/12,2)+ROUNDDOWN($G$45,2))*Intro!$F$17*Intro!$F$21-(ROUNDDOWN($E$7*E43/12,2)-ROUNDDOWN($E$7*E43/12,2)*Intro!$F$7-ROUND($G$45*0.05,2))*0.01-ROUND($G$45*0.05,2)</f>
        <v>1975.2571794</v>
      </c>
      <c r="G43" s="51">
        <f t="shared" si="0"/>
        <v>1975.2571794</v>
      </c>
      <c r="H43" s="49">
        <f t="shared" si="3"/>
        <v>515</v>
      </c>
      <c r="I43" s="51">
        <f>ROUNDDOWN($E$7*H43/12,2)-ROUNDDOWN($E$7*H43/12,2)*Intro!$F$7-(ROUNDDOWN($E$7*H43/12,2)+ROUNDDOWN($J$45,2))*Intro!$F$17*Intro!$F$19-(ROUNDDOWN($E$7*H43/12,2)+ROUNDDOWN($J$45,2))*Intro!$F$17*Intro!$F$21-(ROUNDDOWN($E$7*H43/12,2)-ROUNDDOWN($E$7*H43/12,2)*Intro!$F$7-ROUND($J$45*0.05,2))*0.01-ROUND($J$45*0.05,2)</f>
        <v>1975.2571794</v>
      </c>
      <c r="J43" s="51">
        <f t="shared" si="1"/>
        <v>1975.2571794</v>
      </c>
    </row>
    <row r="44" spans="3:11" ht="19.5" customHeight="1" thickBot="1" thickTop="1">
      <c r="C44" s="53"/>
      <c r="D44" s="53"/>
      <c r="E44" s="53"/>
      <c r="F44" s="196" t="s">
        <v>10</v>
      </c>
      <c r="G44" s="196"/>
      <c r="H44" s="196"/>
      <c r="I44" s="196"/>
      <c r="J44" s="196"/>
      <c r="K44" s="87"/>
    </row>
    <row r="45" spans="1:12" ht="19.5" customHeight="1" thickBot="1" thickTop="1">
      <c r="A45" s="56"/>
      <c r="B45" s="56"/>
      <c r="C45" s="90" t="s">
        <v>9</v>
      </c>
      <c r="D45" s="92">
        <f>Intro!H4</f>
        <v>39082</v>
      </c>
      <c r="E45" s="56"/>
      <c r="F45" s="189">
        <f>Intro!C4</f>
        <v>192.8</v>
      </c>
      <c r="G45" s="190"/>
      <c r="H45" s="91"/>
      <c r="I45" s="189">
        <f>Intro!F4</f>
        <v>241</v>
      </c>
      <c r="J45" s="190"/>
      <c r="K45" s="56"/>
      <c r="L45" s="56"/>
    </row>
    <row r="46" spans="3:5" ht="15" thickTop="1">
      <c r="C46" s="63"/>
      <c r="D46" s="63"/>
      <c r="E46" s="63"/>
    </row>
    <row r="47" spans="3:5" ht="14.25">
      <c r="C47" s="63"/>
      <c r="D47" s="63"/>
      <c r="E47" s="63"/>
    </row>
    <row r="48" spans="3:5" ht="14.25">
      <c r="C48" s="28"/>
      <c r="D48" s="28"/>
      <c r="E48" s="28"/>
    </row>
  </sheetData>
  <sheetProtection sheet="1"/>
  <mergeCells count="33">
    <mergeCell ref="H24:K25"/>
    <mergeCell ref="G18:G19"/>
    <mergeCell ref="B4:H5"/>
    <mergeCell ref="H31:H32"/>
    <mergeCell ref="D12:D13"/>
    <mergeCell ref="E16:G17"/>
    <mergeCell ref="E18:E19"/>
    <mergeCell ref="H20:K21"/>
    <mergeCell ref="F44:J44"/>
    <mergeCell ref="F45:G45"/>
    <mergeCell ref="I45:J45"/>
    <mergeCell ref="C11:D11"/>
    <mergeCell ref="E31:E32"/>
    <mergeCell ref="F31:G31"/>
    <mergeCell ref="I31:J31"/>
    <mergeCell ref="B2:C2"/>
    <mergeCell ref="C29:J29"/>
    <mergeCell ref="C30:D30"/>
    <mergeCell ref="E30:G30"/>
    <mergeCell ref="H30:J30"/>
    <mergeCell ref="E7:F7"/>
    <mergeCell ref="E8:F8"/>
    <mergeCell ref="E9:F9"/>
    <mergeCell ref="I4:J4"/>
    <mergeCell ref="I5:J5"/>
    <mergeCell ref="G7:J9"/>
    <mergeCell ref="B12:B13"/>
    <mergeCell ref="C12:C13"/>
    <mergeCell ref="F18:F19"/>
    <mergeCell ref="D31:D32"/>
    <mergeCell ref="B31:B32"/>
    <mergeCell ref="C31:C32"/>
    <mergeCell ref="C14:F15"/>
  </mergeCells>
  <conditionalFormatting sqref="B33:J43">
    <cfRule type="expression" priority="1" dxfId="0" stopIfTrue="1">
      <formula>(EVEN(ROW())=ROW())</formula>
    </cfRule>
  </conditionalFormatting>
  <conditionalFormatting sqref="E20:G26 B14:B24 C16:D24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showGridLines="0" showRowColHeaders="0" zoomScaleSheetLayoutView="100" zoomScalePageLayoutView="0" workbookViewId="0" topLeftCell="A1">
      <selection activeCell="K29" sqref="K29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177" t="s">
        <v>47</v>
      </c>
      <c r="C4" s="178"/>
      <c r="D4" s="178"/>
      <c r="E4" s="178"/>
      <c r="F4" s="178"/>
      <c r="G4" s="178"/>
      <c r="H4" s="178"/>
      <c r="I4" s="159" t="s">
        <v>59</v>
      </c>
      <c r="J4" s="160"/>
    </row>
    <row r="5" spans="2:10" s="24" customFormat="1" ht="36" customHeight="1" thickBot="1">
      <c r="B5" s="179"/>
      <c r="C5" s="180"/>
      <c r="D5" s="180"/>
      <c r="E5" s="180"/>
      <c r="F5" s="180"/>
      <c r="G5" s="180"/>
      <c r="H5" s="180"/>
      <c r="I5" s="161">
        <f>Intro!H2</f>
        <v>39478</v>
      </c>
      <c r="J5" s="162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174">
        <f>Intro!F2</f>
        <v>55.5635</v>
      </c>
      <c r="F7" s="175"/>
      <c r="G7" s="181" t="s">
        <v>32</v>
      </c>
      <c r="H7" s="181"/>
      <c r="I7" s="181"/>
      <c r="J7" s="181"/>
      <c r="K7" s="75"/>
    </row>
    <row r="8" spans="2:10" s="28" customFormat="1" ht="18" customHeight="1">
      <c r="B8" s="27"/>
      <c r="D8" s="29" t="s">
        <v>2</v>
      </c>
      <c r="E8" s="176">
        <f>ROUNDDOWN(E7/12,2)</f>
        <v>4.63</v>
      </c>
      <c r="F8" s="176"/>
      <c r="G8" s="181"/>
      <c r="H8" s="181"/>
      <c r="I8" s="181"/>
      <c r="J8" s="181"/>
    </row>
    <row r="9" spans="2:11" s="28" customFormat="1" ht="18" customHeight="1">
      <c r="B9" s="27"/>
      <c r="D9" s="29" t="s">
        <v>3</v>
      </c>
      <c r="E9" s="176">
        <f>ROUNDDOWN($E$7/12,2)+ROUNDDOWN($E$7/12,2)*0.03-ROUNDDOWN($E$7/12,2)*Intro!$F$7-(ROUNDDOWN($E$7/12,2)+ROUNDDOWN($E$7/12,2)*0.03)*Intro!$F$17*Intro!$F$19-(ROUNDDOWN($E$7/12,2)+ROUNDDOWN($E$7/12,2)*0.03)*Intro!$F$17*Intro!$F$21-(ROUNDDOWN($E$7/12,2)+ROUNDDOWN($E$7/12,2)*0.03-ROUNDDOWN($E$7/12,2)*Intro!$F$7-ROUNDDOWN($E$7/12,2)*0.03*0.05)*0.01</f>
        <v>3.9618724799999994</v>
      </c>
      <c r="F9" s="176"/>
      <c r="G9" s="181"/>
      <c r="H9" s="181"/>
      <c r="I9" s="181"/>
      <c r="J9" s="181"/>
      <c r="K9" s="75"/>
    </row>
    <row r="10" spans="2:7" s="28" customFormat="1" ht="18" customHeight="1">
      <c r="B10" s="27"/>
      <c r="D10" s="77" t="s">
        <v>20</v>
      </c>
      <c r="E10" s="76"/>
      <c r="F10" s="76"/>
      <c r="G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56" t="s">
        <v>17</v>
      </c>
      <c r="D12" s="158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154" t="s">
        <v>13</v>
      </c>
      <c r="C13" s="167" t="s">
        <v>14</v>
      </c>
      <c r="D13" s="171" t="s">
        <v>15</v>
      </c>
      <c r="E13" s="28"/>
      <c r="F13" s="28"/>
      <c r="G13" s="28"/>
      <c r="H13" s="28"/>
      <c r="I13" s="28"/>
      <c r="J13" s="79"/>
      <c r="K13" s="79"/>
      <c r="L13" s="79"/>
    </row>
    <row r="14" spans="1:12" s="34" customFormat="1" ht="19.5" customHeight="1" thickBot="1">
      <c r="A14" s="63"/>
      <c r="B14" s="155"/>
      <c r="C14" s="168"/>
      <c r="D14" s="172" t="s">
        <v>18</v>
      </c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91" t="s">
        <v>51</v>
      </c>
      <c r="D15" s="191"/>
      <c r="E15" s="191"/>
      <c r="F15" s="192"/>
      <c r="G15" s="63"/>
      <c r="H15" s="63"/>
      <c r="I15" s="63"/>
      <c r="J15" s="79"/>
      <c r="K15" s="79"/>
      <c r="L15" s="79"/>
    </row>
    <row r="16" spans="1:12" ht="19.5" customHeight="1" thickBot="1">
      <c r="A16" s="63"/>
      <c r="B16" s="43">
        <v>2</v>
      </c>
      <c r="C16" s="193"/>
      <c r="D16" s="193"/>
      <c r="E16" s="194"/>
      <c r="F16" s="195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/2,2)+ROUNDDOWN($E$7*C17/12/2,2)*0.03-ROUNDDOWN($E$7*C17/12/2,2)*Intro!$F$7-(ROUNDDOWN($E$7*C17/12/2,2)+ROUNDDOWN($E$7*C17/12/2,2)*0.03)*Intro!$F$17*Intro!$F$19-(ROUNDDOWN($E$7*C17/12/2,2)+ROUNDDOWN($E$7*C17/12/2,2)*0.03)*Intro!$F$17*Intro!$F$21-ROUND((($E$7*C17/12/2)*0.03)*0.05,2)</f>
        <v>863.76311988</v>
      </c>
      <c r="E17" s="185" t="s">
        <v>45</v>
      </c>
      <c r="F17" s="185"/>
      <c r="G17" s="186"/>
      <c r="H17" s="63"/>
      <c r="I17" s="63"/>
      <c r="J17" s="63"/>
      <c r="K17" s="79"/>
      <c r="L17" s="28"/>
    </row>
    <row r="18" spans="2:10" ht="19.5" customHeight="1" thickBot="1">
      <c r="B18" s="43">
        <v>4</v>
      </c>
      <c r="C18" s="44">
        <f>Indices!F8</f>
        <v>445</v>
      </c>
      <c r="D18" s="65">
        <f>ROUNDDOWN($E$7*C18/12/2,2)+ROUNDDOWN($E$7*C18/12/2,2)*0.03-ROUNDDOWN($E$7*C18/12/2,2)*Intro!$F$7-(ROUNDDOWN($E$7*C18/12/2,2)+ROUNDDOWN($E$7*C18/12/2,2)*0.03)*Intro!$F$17*Intro!$F$19-(ROUNDDOWN($E$7*C18/12/2,2)+ROUNDDOWN($E$7*C18/12/2,2)*0.03)*Intro!$F$17*Intro!$F$21-ROUND((($E$7*C18/12/2)*0.03)*0.05,2)</f>
        <v>889.74524266</v>
      </c>
      <c r="E18" s="187"/>
      <c r="F18" s="187"/>
      <c r="G18" s="188"/>
      <c r="H18" s="63"/>
      <c r="I18" s="63"/>
      <c r="J18" s="63"/>
    </row>
    <row r="19" spans="2:11" ht="19.5" customHeight="1" thickTop="1">
      <c r="B19" s="43">
        <v>5</v>
      </c>
      <c r="C19" s="44">
        <f>Indices!F9</f>
        <v>458</v>
      </c>
      <c r="D19" s="65">
        <f>ROUNDDOWN($E$7*C19/12/2,2)+ROUNDDOWN($E$7*C19/12/2,2)*0.03-ROUNDDOWN($E$7*C19/12/2,2)*Intro!$F$7-(ROUNDDOWN($E$7*C19/12/2,2)+ROUNDDOWN($E$7*C19/12/2,2)*0.03)*Intro!$F$17*Intro!$F$19-(ROUNDDOWN($E$7*C19/12/2,2)+ROUNDDOWN($E$7*C19/12/2,2)*0.03)*Intro!$F$17*Intro!$F$21-ROUND((($E$7*C19/12/2)*0.03)*0.05,2)</f>
        <v>915.7460168599999</v>
      </c>
      <c r="E19" s="165" t="s">
        <v>13</v>
      </c>
      <c r="F19" s="169" t="s">
        <v>14</v>
      </c>
      <c r="G19" s="171" t="s">
        <v>15</v>
      </c>
      <c r="H19" s="66" t="s">
        <v>16</v>
      </c>
      <c r="I19" s="84"/>
      <c r="J19" s="84"/>
      <c r="K19" s="84"/>
    </row>
    <row r="20" spans="2:11" ht="19.5" customHeight="1" thickBot="1">
      <c r="B20" s="43">
        <v>6</v>
      </c>
      <c r="C20" s="44">
        <f>Indices!F10</f>
        <v>467</v>
      </c>
      <c r="D20" s="65">
        <f>ROUNDDOWN($E$7*C20/12/2,2)+ROUNDDOWN($E$7*C20/12/2,2)*0.03-ROUNDDOWN($E$7*C20/12/2,2)*Intro!$F$7-(ROUNDDOWN($E$7*C20/12/2,2)+ROUNDDOWN($E$7*C20/12/2,2)*0.03)*Intro!$F$17*Intro!$F$19-(ROUNDDOWN($E$7*C20/12/2,2)+ROUNDDOWN($E$7*C20/12/2,2)*0.03)*Intro!$F$17*Intro!$F$21-ROUND((($E$7*C20/12/2)*0.03)*0.05,2)</f>
        <v>933.74557614</v>
      </c>
      <c r="E20" s="166"/>
      <c r="F20" s="170"/>
      <c r="G20" s="172" t="s">
        <v>18</v>
      </c>
      <c r="H20" s="85" t="str">
        <f>"Retraite "&amp;Intro!F7*100&amp;" % du traitement brut"</f>
        <v>Retraite 8,39 % du traitement brut</v>
      </c>
      <c r="I20" s="71"/>
      <c r="J20" s="71"/>
      <c r="K20" s="71"/>
    </row>
    <row r="21" spans="2:11" ht="19.5" customHeight="1" thickTop="1">
      <c r="B21" s="43">
        <v>7</v>
      </c>
      <c r="C21" s="44">
        <f>Indices!F11</f>
        <v>495</v>
      </c>
      <c r="D21" s="65">
        <f>ROUNDDOWN($E$7*C21/12/2,2)+ROUNDDOWN($E$7*C21/12/2,2)*0.03-ROUNDDOWN($E$7*C21/12/2,2)*Intro!$F$7-(ROUNDDOWN($E$7*C21/12/2,2)+ROUNDDOWN($E$7*C21/12/2,2)*0.03)*Intro!$F$17*Intro!$F$19-(ROUNDDOWN($E$7*C21/12/2,2)+ROUNDDOWN($E$7*C21/12/2,2)*0.03)*Intro!$F$17*Intro!$F$21-ROUND((($E$7*C21/12/2)*0.03)*0.05,2)</f>
        <v>989.72408058</v>
      </c>
      <c r="E21" s="67">
        <v>1</v>
      </c>
      <c r="F21" s="68">
        <f>Indices!I5</f>
        <v>495</v>
      </c>
      <c r="G21" s="64">
        <f>ROUNDDOWN($E$7*F21/12/2,2)+ROUNDDOWN($E$7*F21/12/2,2)*0.03-ROUNDDOWN($E$7*F21/12/2,2)*Intro!$F$7-(ROUNDDOWN($E$7*F21/12/2,2)+ROUNDDOWN($E$7*F21/12/2,2)*0.03)*Intro!$F$17*Intro!$F$19-(ROUNDDOWN($E$7*F21/12/2,2)+ROUNDDOWN($E$7*F21/12/2,2)*0.03)*Intro!$F$17*Intro!$F$21-ROUND((($E$7*F21/12/2)*0.03)*0.05,2)</f>
        <v>989.72408058</v>
      </c>
      <c r="H21" s="163" t="s">
        <v>44</v>
      </c>
      <c r="I21" s="164"/>
      <c r="J21" s="164"/>
      <c r="K21" s="164"/>
    </row>
    <row r="22" spans="2:11" ht="19.5" customHeight="1">
      <c r="B22" s="43">
        <v>8</v>
      </c>
      <c r="C22" s="44">
        <f>Indices!F12</f>
        <v>531</v>
      </c>
      <c r="D22" s="65">
        <f>ROUNDDOWN($E$7*C22/12/2,2)+ROUNDDOWN($E$7*C22/12/2,2)*0.03-ROUNDDOWN($E$7*C22/12/2,2)*Intro!$F$7-(ROUNDDOWN($E$7*C22/12/2,2)+ROUNDDOWN($E$7*C22/12/2,2)*0.03)*Intro!$F$17*Intro!$F$19-(ROUNDDOWN($E$7*C22/12/2,2)+ROUNDDOWN($E$7*C22/12/2,2)*0.03)*Intro!$F$17*Intro!$F$21-ROUND((($E$7*C22/12/2)*0.03)*0.05,2)</f>
        <v>1061.71366628</v>
      </c>
      <c r="E22" s="69">
        <v>2</v>
      </c>
      <c r="F22" s="70">
        <f>Indices!I6</f>
        <v>560</v>
      </c>
      <c r="G22" s="65">
        <f>ROUNDDOWN($E$7*F22/12/2,2)+ROUNDDOWN($E$7*F22/12/2,2)*0.03-ROUNDDOWN($E$7*F22/12/2,2)*Intro!$F$7-(ROUNDDOWN($E$7*F22/12/2,2)+ROUNDDOWN($E$7*F22/12/2,2)*0.03)*Intro!$F$17*Intro!$F$19-(ROUNDDOWN($E$7*F22/12/2,2)+ROUNDDOWN($E$7*F22/12/2,2)*0.03)*Intro!$F$17*Intro!$F$21-ROUND((($E$7*F22/12/2)*0.03)*0.05,2)</f>
        <v>1119.69930016</v>
      </c>
      <c r="H22" s="163"/>
      <c r="I22" s="164"/>
      <c r="J22" s="164"/>
      <c r="K22" s="164"/>
    </row>
    <row r="23" spans="2:11" ht="19.5" customHeight="1">
      <c r="B23" s="43">
        <v>9</v>
      </c>
      <c r="C23" s="44">
        <f>Indices!F13</f>
        <v>567</v>
      </c>
      <c r="D23" s="65">
        <f>ROUNDDOWN($E$7*C23/12/2,2)+ROUNDDOWN($E$7*C23/12/2,2)*0.03-ROUNDDOWN($E$7*C23/12/2,2)*Intro!$F$7-(ROUNDDOWN($E$7*C23/12/2,2)+ROUNDDOWN($E$7*C23/12/2,2)*0.03)*Intro!$F$17*Intro!$F$19-(ROUNDDOWN($E$7*C23/12/2,2)+ROUNDDOWN($E$7*C23/12/2,2)*0.03)*Intro!$F$17*Intro!$F$21-ROUND((($E$7*C23/12/2)*0.03)*0.05,2)</f>
        <v>1133.68460056</v>
      </c>
      <c r="E23" s="69">
        <v>3</v>
      </c>
      <c r="F23" s="70">
        <f>Indices!I7</f>
        <v>601</v>
      </c>
      <c r="G23" s="65">
        <f>ROUNDDOWN($E$7*F23/12/2,2)+ROUNDDOWN($E$7*F23/12/2,2)*0.03-ROUNDDOWN($E$7*F23/12/2,2)*Intro!$F$7-(ROUNDDOWN($E$7*F23/12/2,2)+ROUNDDOWN($E$7*F23/12/2,2)*0.03)*Intro!$F$17*Intro!$F$19-(ROUNDDOWN($E$7*F23/12/2,2)+ROUNDDOWN($E$7*F23/12/2,2)*0.03)*Intro!$F$17*Intro!$F$21-ROUND((($E$7*F23/12/2)*0.03)*0.05,2)</f>
        <v>1201.6685788000002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/2,2)+ROUNDDOWN($E$7*C24/12/2,2)*0.03-ROUNDDOWN($E$7*C24/12/2,2)*Intro!$F$7-(ROUNDDOWN($E$7*C24/12/2,2)+ROUNDDOWN($E$7*C24/12/2,2)*0.03)*Intro!$F$17*Intro!$F$19-(ROUNDDOWN($E$7*C24/12/2,2)+ROUNDDOWN($E$7*C24/12/2,2)*0.03)*Intro!$F$17*Intro!$F$21-ROUND((($E$7*C24/12/2)*0.03)*0.05,2)</f>
        <v>1223.6550941199996</v>
      </c>
      <c r="E24" s="69">
        <v>4</v>
      </c>
      <c r="F24" s="70">
        <f>Indices!I8</f>
        <v>642</v>
      </c>
      <c r="G24" s="65">
        <f>ROUNDDOWN($E$7*F24/12/2,2)+ROUNDDOWN($E$7*F24/12/2,2)*0.03-ROUNDDOWN($E$7*F24/12/2,2)*Intro!$F$7-(ROUNDDOWN($E$7*F24/12/2,2)+ROUNDDOWN($E$7*F24/12/2,2)*0.03)*Intro!$F$17*Intro!$F$19-(ROUNDDOWN($E$7*F24/12/2,2)+ROUNDDOWN($E$7*F24/12/2,2)*0.03)*Intro!$F$17*Intro!$F$21-ROUND((($E$7*F24/12/2)*0.03)*0.05,2)</f>
        <v>1283.6478574399998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/2,2)+ROUNDDOWN($E$7*C25/12/2,2)*0.03-ROUNDDOWN($E$7*C25/12/2,2)*Intro!$F$7-(ROUNDDOWN($E$7*C25/12/2,2)+ROUNDDOWN($E$7*C25/12/2,2)*0.03)*Intro!$F$17*Intro!$F$19-(ROUNDDOWN($E$7*C25/12/2,2)+ROUNDDOWN($E$7*C25/12/2,2)*0.03)*Intro!$F$17*Intro!$F$21-ROUND((($E$7*C25/12/2)*0.03)*0.05,2)</f>
        <v>1315.63271712</v>
      </c>
      <c r="E25" s="69">
        <v>5</v>
      </c>
      <c r="F25" s="70">
        <f>Indices!I9</f>
        <v>695</v>
      </c>
      <c r="G25" s="93">
        <f>ROUNDDOWN($E$7*F25/12/2,2)+ROUNDDOWN($E$7*F25/12/2,2)*0.03-ROUNDDOWN($E$7*F25/12/2,2)*Intro!$F$7-(ROUNDDOWN($E$7*F25/12/2,2)+ROUNDDOWN($E$7*F25/12/2,2)*0.03)*Intro!$F$17*Intro!$F$19-(ROUNDDOWN($E$7*F25/12/2,2)+ROUNDDOWN($E$7*F25/12/2,2)*0.03)*Intro!$F$17*Intro!$F$21-ROUND((($E$7*F25/12/2)*0.03)*0.05,2)-(ROUNDDOWN($E$7*F25/12/2,2)+ROUNDDOWN($E$7*F25/12/2,2)*0.03-ROUNDDOWN($E$7*F25/12/2,2)*Intro!$F$7-ROUND($E$7*F25/12/2*0.03*0.05,2))*0.01</f>
        <v>1374.42194262</v>
      </c>
      <c r="H25" s="163" t="s">
        <v>41</v>
      </c>
      <c r="I25" s="164"/>
      <c r="J25" s="164"/>
      <c r="K25" s="164"/>
    </row>
    <row r="26" spans="5:11" ht="19.5" customHeight="1" thickTop="1">
      <c r="E26" s="43">
        <v>6</v>
      </c>
      <c r="F26" s="70">
        <f>Indices!I10</f>
        <v>741</v>
      </c>
      <c r="G26" s="93">
        <f>ROUNDDOWN($E$7*F26/12/2,2)+ROUNDDOWN($E$7*F26/12/2,2)*0.03-ROUNDDOWN($E$7*F26/12/2,2)*Intro!$F$7-(ROUNDDOWN($E$7*F26/12/2,2)+ROUNDDOWN($E$7*F26/12/2,2)*0.03)*Intro!$F$17*Intro!$F$19-(ROUNDDOWN($E$7*F26/12/2,2)+ROUNDDOWN($E$7*F26/12/2,2)*0.03)*Intro!$F$17*Intro!$F$21-ROUND((($E$7*F26/12/2)*0.03)*0.05,2)-(ROUNDDOWN($E$7*F26/12/2,2)+ROUNDDOWN($E$7*F26/12/2,2)*0.03-ROUNDDOWN($E$7*F26/12/2,2)*Intro!$F$7-ROUND($E$7*F26/12/2*0.03*0.05,2))*0.01</f>
        <v>1465.39356912</v>
      </c>
      <c r="H26" s="163"/>
      <c r="I26" s="164"/>
      <c r="J26" s="164"/>
      <c r="K26" s="164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94">
        <f>ROUNDDOWN($E$7*F27/12/2,2)+ROUNDDOWN($E$7*F27/12/2,2)*0.03-ROUNDDOWN($E$7*F27/12/2,2)*Intro!$F$7-(ROUNDDOWN($E$7*F27/12/2,2)+ROUNDDOWN($E$7*F27/12/2,2)*0.03)*Intro!$F$17*Intro!$F$19-(ROUNDDOWN($E$7*F27/12/2,2)+ROUNDDOWN($E$7*F27/12/2,2)*0.03)*Intro!$F$17*Intro!$F$21-ROUND((($E$7*F27/12/2)*0.03)*0.05,2)-(ROUNDDOWN($E$7*F27/12/2,2)+ROUNDDOWN($E$7*F27/12/2,2)*0.03-ROUNDDOWN($E$7*F27/12/2,2)*Intro!$F$7-ROUND($E$7*F27/12/2*0.03*0.05,2))*0.01</f>
        <v>1548.44293275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2" s="56" customFormat="1" ht="39.75" customHeight="1">
      <c r="A29" s="22"/>
      <c r="B29" s="95" t="s">
        <v>31</v>
      </c>
      <c r="C29" s="63"/>
      <c r="D29" s="63"/>
      <c r="E29" s="63"/>
      <c r="F29" s="22"/>
      <c r="G29" s="22"/>
      <c r="H29" s="22"/>
      <c r="I29" s="22"/>
      <c r="J29" s="22"/>
      <c r="K29" s="22"/>
      <c r="L29" s="22"/>
    </row>
    <row r="30" spans="1:13" ht="19.5" customHeight="1" thickBot="1">
      <c r="A30" s="28"/>
      <c r="B30" s="28"/>
      <c r="C30" s="28"/>
      <c r="D30" s="28"/>
      <c r="E30" s="28"/>
      <c r="F30" s="28"/>
      <c r="G30" s="28"/>
      <c r="H30" s="28"/>
      <c r="I30" s="28"/>
      <c r="J30" s="77" t="s">
        <v>37</v>
      </c>
      <c r="K30" s="28"/>
      <c r="L30" s="28"/>
      <c r="M30" s="28"/>
    </row>
    <row r="31" spans="1:13" s="28" customFormat="1" ht="19.5" customHeight="1" thickBot="1" thickTop="1">
      <c r="A31" s="33"/>
      <c r="B31" s="32"/>
      <c r="C31" s="156" t="s">
        <v>12</v>
      </c>
      <c r="D31" s="157"/>
      <c r="E31" s="157"/>
      <c r="F31" s="157"/>
      <c r="G31" s="157"/>
      <c r="H31" s="157"/>
      <c r="I31" s="157"/>
      <c r="J31" s="158"/>
      <c r="K31" s="33"/>
      <c r="L31" s="33"/>
      <c r="M31" s="63"/>
    </row>
    <row r="32" spans="1:12" s="63" customFormat="1" ht="19.5" customHeight="1" thickBot="1" thickTop="1">
      <c r="A32" s="33"/>
      <c r="B32" s="32"/>
      <c r="C32" s="182" t="s">
        <v>26</v>
      </c>
      <c r="D32" s="183"/>
      <c r="E32" s="182" t="s">
        <v>0</v>
      </c>
      <c r="F32" s="183"/>
      <c r="G32" s="183"/>
      <c r="H32" s="182" t="s">
        <v>1</v>
      </c>
      <c r="I32" s="183"/>
      <c r="J32" s="184"/>
      <c r="K32" s="33"/>
      <c r="L32" s="33"/>
    </row>
    <row r="33" spans="1:12" s="63" customFormat="1" ht="19.5" customHeight="1" thickTop="1">
      <c r="A33" s="34"/>
      <c r="B33" s="154" t="s">
        <v>13</v>
      </c>
      <c r="C33" s="167" t="s">
        <v>14</v>
      </c>
      <c r="D33" s="171" t="s">
        <v>15</v>
      </c>
      <c r="E33" s="167" t="s">
        <v>14</v>
      </c>
      <c r="F33" s="197" t="s">
        <v>15</v>
      </c>
      <c r="G33" s="165"/>
      <c r="H33" s="167" t="s">
        <v>14</v>
      </c>
      <c r="I33" s="197" t="s">
        <v>15</v>
      </c>
      <c r="J33" s="165"/>
      <c r="K33" s="34"/>
      <c r="L33" s="34"/>
    </row>
    <row r="34" spans="1:13" s="63" customFormat="1" ht="19.5" customHeight="1" thickBot="1">
      <c r="A34" s="34"/>
      <c r="B34" s="155"/>
      <c r="C34" s="168"/>
      <c r="D34" s="172" t="s">
        <v>18</v>
      </c>
      <c r="E34" s="198"/>
      <c r="F34" s="35" t="s">
        <v>27</v>
      </c>
      <c r="G34" s="35" t="s">
        <v>28</v>
      </c>
      <c r="H34" s="198"/>
      <c r="I34" s="35" t="s">
        <v>27</v>
      </c>
      <c r="J34" s="35" t="s">
        <v>28</v>
      </c>
      <c r="K34" s="34"/>
      <c r="L34" s="34"/>
      <c r="M34" s="28"/>
    </row>
    <row r="35" spans="1:13" s="28" customFormat="1" ht="19.5" customHeight="1" thickTop="1">
      <c r="A35" s="22"/>
      <c r="B35" s="37">
        <v>1</v>
      </c>
      <c r="C35" s="38">
        <f>Indices!C5</f>
        <v>341</v>
      </c>
      <c r="D35" s="41">
        <f>ROUNDDOWN($E$7*C35/12/2,2)+ROUNDDOWN($E$7*C35/12/2,2)*0.03-ROUNDDOWN($E$7*C35/12/2,2)*Intro!$F$7-(ROUNDDOWN($E$7*C35/12/2,2)+ROUNDDOWN($E$7*C35/12/2,2)*0.03)*Intro!$F$17*Intro!$F$19-(ROUNDDOWN($E$7*C35/12/2,2)+ROUNDDOWN($E$7*C35/12/2,2)*0.03)*Intro!$F$17*Intro!$F$21-ROUND((($E$7*C35/12/2)*0.03)*0.05,2)</f>
        <v>681.8150033200001</v>
      </c>
      <c r="E35" s="40">
        <f>C35</f>
        <v>341</v>
      </c>
      <c r="F35" s="41">
        <f>ROUNDDOWN($E$7*E35/12/2,2)+ROUNDDOWN($E$7*E35/12/2,2)*0.03-ROUNDDOWN($E$7*E35/12/2,2)*Intro!$F$7-(ROUNDDOWN($E$7*E35/12/2,2)+ROUNDDOWN($E$7*E35/12/2,2)*0.03+ROUNDDOWN($F$47,2))*Intro!$F$17*Intro!$F$19-(ROUNDDOWN($E$7*E35/12/2,2)+ROUNDDOWN($E$7*E35/12/2,2)*0.03+ROUNDDOWN($F$47,2))*Intro!$F$17*Intro!$F$21-ROUND((($E$7*E35/12/2)*0.03+$F$47)*0.05,2)</f>
        <v>657.02092332</v>
      </c>
      <c r="G35" s="41">
        <f aca="true" t="shared" si="0" ref="G35:G45">F35+$F$47</f>
        <v>849.82092332</v>
      </c>
      <c r="H35" s="40">
        <f>C35</f>
        <v>341</v>
      </c>
      <c r="I35" s="41">
        <f>ROUNDDOWN($E$7*H35/12/2,2)+ROUNDDOWN($E$7*H35/12/2,2)*0.03-ROUNDDOWN($E$7*H35/12/2,2)*Intro!$F$7-(ROUNDDOWN($E$7*H35/12/2,2)+ROUNDDOWN($E$7*H35/12/2,2)*0.03+ROUNDDOWN($J$47,2))*Intro!$F$17*Intro!$F$19-(ROUNDDOWN($E$7*H35/12/2,2)+ROUNDDOWN($E$7*H35/12/2,2)*0.03+ROUNDDOWN($J$47,2))*Intro!$F$17*Intro!$F$21-ROUND((($E$7*H35/12/2)*0.03+$J$47)*0.05,2)</f>
        <v>681.8150033200001</v>
      </c>
      <c r="J35" s="41">
        <f aca="true" t="shared" si="1" ref="J35:J45">I35+$J$47</f>
        <v>681.8150033200001</v>
      </c>
      <c r="K35" s="22"/>
      <c r="L35" s="22"/>
      <c r="M35" s="22"/>
    </row>
    <row r="36" spans="2:10" ht="19.5" customHeight="1">
      <c r="B36" s="43">
        <v>2</v>
      </c>
      <c r="C36" s="44">
        <f>Indices!C6</f>
        <v>357</v>
      </c>
      <c r="D36" s="46">
        <f>ROUNDDOWN($E$7*C36/12/2,2)+ROUNDDOWN($E$7*C36/12/2,2)*0.03-ROUNDDOWN($E$7*C36/12/2,2)*Intro!$F$7-(ROUNDDOWN($E$7*C36/12/2,2)+ROUNDDOWN($E$7*C36/12/2,2)*0.03)*Intro!$F$17*Intro!$F$19-(ROUNDDOWN($E$7*C36/12/2,2)+ROUNDDOWN($E$7*C36/12/2,2)*0.03)*Intro!$F$17*Intro!$F$21-ROUND((($E$7*C36/12/2)*0.03)*0.05,2)</f>
        <v>713.799863</v>
      </c>
      <c r="E36" s="44">
        <f aca="true" t="shared" si="2" ref="E36:E45">C36</f>
        <v>357</v>
      </c>
      <c r="F36" s="46">
        <f>ROUNDDOWN($E$7*E36/12/2,2)+ROUNDDOWN($E$7*E36/12/2,2)*0.03-ROUNDDOWN($E$7*E36/12/2,2)*Intro!$F$7-(ROUNDDOWN($E$7*E36/12/2,2)+ROUNDDOWN($E$7*E36/12/2,2)*0.03+ROUNDDOWN($F$47,2))*Intro!$F$17*Intro!$F$19-(ROUNDDOWN($E$7*E36/12/2,2)+ROUNDDOWN($E$7*E36/12/2,2)*0.03+ROUNDDOWN($F$47,2))*Intro!$F$17*Intro!$F$21-ROUND((($E$7*E36/12/2)*0.03+$F$47)*0.05,2)</f>
        <v>689.0057830000001</v>
      </c>
      <c r="G36" s="46">
        <f t="shared" si="0"/>
        <v>881.805783</v>
      </c>
      <c r="H36" s="44">
        <f aca="true" t="shared" si="3" ref="H36:H45">C36</f>
        <v>357</v>
      </c>
      <c r="I36" s="46">
        <f>ROUNDDOWN($E$7*H36/12/2,2)+ROUNDDOWN($E$7*H36/12/2,2)*0.03-ROUNDDOWN($E$7*H36/12/2,2)*Intro!$F$7-(ROUNDDOWN($E$7*H36/12/2,2)+ROUNDDOWN($E$7*H36/12/2,2)*0.03+ROUNDDOWN($J$47,2))*Intro!$F$17*Intro!$F$19-(ROUNDDOWN($E$7*H36/12/2,2)+ROUNDDOWN($E$7*H36/12/2,2)*0.03+ROUNDDOWN($J$47,2))*Intro!$F$17*Intro!$F$21-ROUND((($E$7*H36/12/2)*0.03+$J$47)*0.05,2)</f>
        <v>713.799863</v>
      </c>
      <c r="J36" s="46">
        <f t="shared" si="1"/>
        <v>713.799863</v>
      </c>
    </row>
    <row r="37" spans="2:10" ht="19.5" customHeight="1">
      <c r="B37" s="43">
        <v>3</v>
      </c>
      <c r="C37" s="44">
        <f>Indices!C7</f>
        <v>366</v>
      </c>
      <c r="D37" s="46">
        <f>ROUNDDOWN($E$7*C37/12/2,2)+ROUNDDOWN($E$7*C37/12/2,2)*0.03-ROUNDDOWN($E$7*C37/12/2,2)*Intro!$F$7-(ROUNDDOWN($E$7*C37/12/2,2)+ROUNDDOWN($E$7*C37/12/2,2)*0.03)*Intro!$F$17*Intro!$F$19-(ROUNDDOWN($E$7*C37/12/2,2)+ROUNDDOWN($E$7*C37/12/2,2)*0.03)*Intro!$F$17*Intro!$F$21-ROUND((($E$7*C37/12/2)*0.03)*0.05,2)</f>
        <v>731.7994222800002</v>
      </c>
      <c r="E37" s="44">
        <f t="shared" si="2"/>
        <v>366</v>
      </c>
      <c r="F37" s="46">
        <f>ROUNDDOWN($E$7*E37/12/2,2)+ROUNDDOWN($E$7*E37/12/2,2)*0.03-ROUNDDOWN($E$7*E37/12/2,2)*Intro!$F$7-(ROUNDDOWN($E$7*E37/12/2,2)+ROUNDDOWN($E$7*E37/12/2,2)*0.03+ROUNDDOWN($F$47,2))*Intro!$F$17*Intro!$F$19-(ROUNDDOWN($E$7*E37/12/2,2)+ROUNDDOWN($E$7*E37/12/2,2)*0.03+ROUNDDOWN($F$47,2))*Intro!$F$17*Intro!$F$21-ROUND((($E$7*E37/12/2)*0.03+$F$47)*0.05,2)</f>
        <v>707.0053422800001</v>
      </c>
      <c r="G37" s="46">
        <f t="shared" si="0"/>
        <v>899.8053422800001</v>
      </c>
      <c r="H37" s="44">
        <f t="shared" si="3"/>
        <v>366</v>
      </c>
      <c r="I37" s="46">
        <f>ROUNDDOWN($E$7*H37/12/2,2)+ROUNDDOWN($E$7*H37/12/2,2)*0.03-ROUNDDOWN($E$7*H37/12/2,2)*Intro!$F$7-(ROUNDDOWN($E$7*H37/12/2,2)+ROUNDDOWN($E$7*H37/12/2,2)*0.03+ROUNDDOWN($J$47,2))*Intro!$F$17*Intro!$F$19-(ROUNDDOWN($E$7*H37/12/2,2)+ROUNDDOWN($E$7*H37/12/2,2)*0.03+ROUNDDOWN($J$47,2))*Intro!$F$17*Intro!$F$21-ROUND((($E$7*H37/12/2)*0.03+$J$47)*0.05,2)</f>
        <v>731.7994222800002</v>
      </c>
      <c r="J37" s="46">
        <f t="shared" si="1"/>
        <v>731.7994222800002</v>
      </c>
    </row>
    <row r="38" spans="2:10" ht="19.5" customHeight="1">
      <c r="B38" s="43">
        <v>4</v>
      </c>
      <c r="C38" s="44">
        <f>Indices!C8</f>
        <v>373</v>
      </c>
      <c r="D38" s="46">
        <f>ROUNDDOWN($E$7*C38/12/2,2)+ROUNDDOWN($E$7*C38/12/2,2)*0.03-ROUNDDOWN($E$7*C38/12/2,2)*Intro!$F$7-(ROUNDDOWN($E$7*C38/12/2,2)+ROUNDDOWN($E$7*C38/12/2,2)*0.03)*Intro!$F$17*Intro!$F$19-(ROUNDDOWN($E$7*C38/12/2,2)+ROUNDDOWN($E$7*C38/12/2,2)*0.03)*Intro!$F$17*Intro!$F$21-ROUND((($E$7*C38/12/2)*0.03)*0.05,2)</f>
        <v>745.7847226800001</v>
      </c>
      <c r="E38" s="44">
        <f t="shared" si="2"/>
        <v>373</v>
      </c>
      <c r="F38" s="46">
        <f>ROUNDDOWN($E$7*E38/12/2,2)+ROUNDDOWN($E$7*E38/12/2,2)*0.03-ROUNDDOWN($E$7*E38/12/2,2)*Intro!$F$7-(ROUNDDOWN($E$7*E38/12/2,2)+ROUNDDOWN($E$7*E38/12/2,2)*0.03+ROUNDDOWN($F$47,2))*Intro!$F$17*Intro!$F$19-(ROUNDDOWN($E$7*E38/12/2,2)+ROUNDDOWN($E$7*E38/12/2,2)*0.03+ROUNDDOWN($F$47,2))*Intro!$F$17*Intro!$F$21-ROUND((($E$7*E38/12/2)*0.03+$F$47)*0.05,2)</f>
        <v>720.99064268</v>
      </c>
      <c r="G38" s="46">
        <f t="shared" si="0"/>
        <v>913.79064268</v>
      </c>
      <c r="H38" s="44">
        <f t="shared" si="3"/>
        <v>373</v>
      </c>
      <c r="I38" s="46">
        <f>ROUNDDOWN($E$7*H38/12/2,2)+ROUNDDOWN($E$7*H38/12/2,2)*0.03-ROUNDDOWN($E$7*H38/12/2,2)*Intro!$F$7-(ROUNDDOWN($E$7*H38/12/2,2)+ROUNDDOWN($E$7*H38/12/2,2)*0.03+ROUNDDOWN($J$47,2))*Intro!$F$17*Intro!$F$19-(ROUNDDOWN($E$7*H38/12/2,2)+ROUNDDOWN($E$7*H38/12/2,2)*0.03+ROUNDDOWN($J$47,2))*Intro!$F$17*Intro!$F$21-ROUND((($E$7*H38/12/2)*0.03+$J$47)*0.05,2)</f>
        <v>745.7847226800001</v>
      </c>
      <c r="J38" s="46">
        <f t="shared" si="1"/>
        <v>745.7847226800001</v>
      </c>
    </row>
    <row r="39" spans="2:10" ht="19.5" customHeight="1">
      <c r="B39" s="43">
        <v>5</v>
      </c>
      <c r="C39" s="44">
        <f>Indices!C9</f>
        <v>383</v>
      </c>
      <c r="D39" s="46">
        <f>ROUNDDOWN($E$7*C39/12/2,2)+ROUNDDOWN($E$7*C39/12/2,2)*0.03-ROUNDDOWN($E$7*C39/12/2,2)*Intro!$F$7-(ROUNDDOWN($E$7*C39/12/2,2)+ROUNDDOWN($E$7*C39/12/2,2)*0.03)*Intro!$F$17*Intro!$F$19-(ROUNDDOWN($E$7*C39/12/2,2)+ROUNDDOWN($E$7*C39/12/2,2)*0.03)*Intro!$F$17*Intro!$F$21-ROUND((($E$7*C39/12/2)*0.03)*0.05,2)</f>
        <v>765.7914114</v>
      </c>
      <c r="E39" s="44">
        <f t="shared" si="2"/>
        <v>383</v>
      </c>
      <c r="F39" s="46">
        <f>ROUNDDOWN($E$7*E39/12/2,2)+ROUNDDOWN($E$7*E39/12/2,2)*0.03-ROUNDDOWN($E$7*E39/12/2,2)*Intro!$F$7-(ROUNDDOWN($E$7*E39/12/2,2)+ROUNDDOWN($E$7*E39/12/2,2)*0.03+ROUNDDOWN($F$47,2))*Intro!$F$17*Intro!$F$19-(ROUNDDOWN($E$7*E39/12/2,2)+ROUNDDOWN($E$7*E39/12/2,2)*0.03+ROUNDDOWN($F$47,2))*Intro!$F$17*Intro!$F$21-ROUND((($E$7*E39/12/2)*0.03+$F$47)*0.05,2)</f>
        <v>740.9973314</v>
      </c>
      <c r="G39" s="46">
        <f t="shared" si="0"/>
        <v>933.7973314000001</v>
      </c>
      <c r="H39" s="44">
        <f t="shared" si="3"/>
        <v>383</v>
      </c>
      <c r="I39" s="46">
        <f>ROUNDDOWN($E$7*H39/12/2,2)+ROUNDDOWN($E$7*H39/12/2,2)*0.03-ROUNDDOWN($E$7*H39/12/2,2)*Intro!$F$7-(ROUNDDOWN($E$7*H39/12/2,2)+ROUNDDOWN($E$7*H39/12/2,2)*0.03+ROUNDDOWN($J$47,2))*Intro!$F$17*Intro!$F$19-(ROUNDDOWN($E$7*H39/12/2,2)+ROUNDDOWN($E$7*H39/12/2,2)*0.03+ROUNDDOWN($J$47,2))*Intro!$F$17*Intro!$F$21-ROUND((($E$7*H39/12/2)*0.03+$J$47)*0.05,2)</f>
        <v>765.7914114</v>
      </c>
      <c r="J39" s="46">
        <f t="shared" si="1"/>
        <v>765.7914114</v>
      </c>
    </row>
    <row r="40" spans="2:10" ht="19.5" customHeight="1">
      <c r="B40" s="43">
        <v>6</v>
      </c>
      <c r="C40" s="44">
        <f>Indices!C10</f>
        <v>390</v>
      </c>
      <c r="D40" s="46">
        <f>ROUNDDOWN($E$7*C40/12/2,2)+ROUNDDOWN($E$7*C40/12/2,2)*0.03-ROUNDDOWN($E$7*C40/12/2,2)*Intro!$F$7-(ROUNDDOWN($E$7*C40/12/2,2)+ROUNDDOWN($E$7*C40/12/2,2)*0.03)*Intro!$F$17*Intro!$F$19-(ROUNDDOWN($E$7*C40/12/2,2)+ROUNDDOWN($E$7*C40/12/2,2)*0.03)*Intro!$F$17*Intro!$F$21-ROUND((($E$7*C40/12/2)*0.03)*0.05,2)</f>
        <v>779.7867118</v>
      </c>
      <c r="E40" s="44">
        <f t="shared" si="2"/>
        <v>390</v>
      </c>
      <c r="F40" s="46">
        <f>ROUNDDOWN($E$7*E40/12/2,2)+ROUNDDOWN($E$7*E40/12/2,2)*0.03-ROUNDDOWN($E$7*E40/12/2,2)*Intro!$F$7-(ROUNDDOWN($E$7*E40/12/2,2)+ROUNDDOWN($E$7*E40/12/2,2)*0.03+ROUNDDOWN($F$47,2))*Intro!$F$17*Intro!$F$19-(ROUNDDOWN($E$7*E40/12/2,2)+ROUNDDOWN($E$7*E40/12/2,2)*0.03+ROUNDDOWN($F$47,2))*Intro!$F$17*Intro!$F$21-ROUND((($E$7*E40/12/2)*0.03+$F$47)*0.05,2)</f>
        <v>754.9926318</v>
      </c>
      <c r="G40" s="46">
        <f t="shared" si="0"/>
        <v>947.7926318</v>
      </c>
      <c r="H40" s="44">
        <f t="shared" si="3"/>
        <v>390</v>
      </c>
      <c r="I40" s="46">
        <f>ROUNDDOWN($E$7*H40/12/2,2)+ROUNDDOWN($E$7*H40/12/2,2)*0.03-ROUNDDOWN($E$7*H40/12/2,2)*Intro!$F$7-(ROUNDDOWN($E$7*H40/12/2,2)+ROUNDDOWN($E$7*H40/12/2,2)*0.03+ROUNDDOWN($J$47,2))*Intro!$F$17*Intro!$F$19-(ROUNDDOWN($E$7*H40/12/2,2)+ROUNDDOWN($E$7*H40/12/2,2)*0.03+ROUNDDOWN($J$47,2))*Intro!$F$17*Intro!$F$21-ROUND((($E$7*H40/12/2)*0.03+$J$47)*0.05,2)</f>
        <v>779.7867118</v>
      </c>
      <c r="J40" s="46">
        <f t="shared" si="1"/>
        <v>779.7867118</v>
      </c>
    </row>
    <row r="41" spans="2:10" ht="19.5" customHeight="1">
      <c r="B41" s="43">
        <v>7</v>
      </c>
      <c r="C41" s="44">
        <f>Indices!C11</f>
        <v>399</v>
      </c>
      <c r="D41" s="46">
        <f>ROUNDDOWN($E$7*C41/12/2,2)+ROUNDDOWN($E$7*C41/12/2,2)*0.03-ROUNDDOWN($E$7*C41/12/2,2)*Intro!$F$7-(ROUNDDOWN($E$7*C41/12/2,2)+ROUNDDOWN($E$7*C41/12/2,2)*0.03)*Intro!$F$17*Intro!$F$19-(ROUNDDOWN($E$7*C41/12/2,2)+ROUNDDOWN($E$7*C41/12/2,2)*0.03)*Intro!$F$17*Intro!$F$21-ROUND((($E$7*C41/12/2)*0.03)*0.05,2)</f>
        <v>797.77627108</v>
      </c>
      <c r="E41" s="44">
        <f t="shared" si="2"/>
        <v>399</v>
      </c>
      <c r="F41" s="46">
        <f>ROUNDDOWN($E$7*E41/12/2,2)+ROUNDDOWN($E$7*E41/12/2,2)*0.03-ROUNDDOWN($E$7*E41/12/2,2)*Intro!$F$7-(ROUNDDOWN($E$7*E41/12/2,2)+ROUNDDOWN($E$7*E41/12/2,2)*0.03+ROUNDDOWN($F$47,2))*Intro!$F$17*Intro!$F$19-(ROUNDDOWN($E$7*E41/12/2,2)+ROUNDDOWN($E$7*E41/12/2,2)*0.03+ROUNDDOWN($F$47,2))*Intro!$F$17*Intro!$F$21-ROUND((($E$7*E41/12/2)*0.03+$F$47)*0.05,2)</f>
        <v>772.98219108</v>
      </c>
      <c r="G41" s="46">
        <f t="shared" si="0"/>
        <v>965.7821910800001</v>
      </c>
      <c r="H41" s="44">
        <f t="shared" si="3"/>
        <v>399</v>
      </c>
      <c r="I41" s="46">
        <f>ROUNDDOWN($E$7*H41/12/2,2)+ROUNDDOWN($E$7*H41/12/2,2)*0.03-ROUNDDOWN($E$7*H41/12/2,2)*Intro!$F$7-(ROUNDDOWN($E$7*H41/12/2,2)+ROUNDDOWN($E$7*H41/12/2,2)*0.03+ROUNDDOWN($J$47,2))*Intro!$F$17*Intro!$F$19-(ROUNDDOWN($E$7*H41/12/2,2)+ROUNDDOWN($E$7*H41/12/2,2)*0.03+ROUNDDOWN($J$47,2))*Intro!$F$17*Intro!$F$21-ROUND((($E$7*H41/12/2)*0.03+$J$47)*0.05,2)</f>
        <v>797.77627108</v>
      </c>
      <c r="J41" s="46">
        <f t="shared" si="1"/>
        <v>797.77627108</v>
      </c>
    </row>
    <row r="42" spans="2:10" ht="19.5" customHeight="1">
      <c r="B42" s="43">
        <v>8</v>
      </c>
      <c r="C42" s="44">
        <f>Indices!C12</f>
        <v>420</v>
      </c>
      <c r="D42" s="46">
        <f>ROUNDDOWN($E$7*C42/12/2,2)+ROUNDDOWN($E$7*C42/12/2,2)*0.03-ROUNDDOWN($E$7*C42/12/2,2)*Intro!$F$7-(ROUNDDOWN($E$7*C42/12/2,2)+ROUNDDOWN($E$7*C42/12/2,2)*0.03)*Intro!$F$17*Intro!$F$19-(ROUNDDOWN($E$7*C42/12/2,2)+ROUNDDOWN($E$7*C42/12/2,2)*0.03)*Intro!$F$17*Intro!$F$21-ROUND((($E$7*C42/12/2)*0.03)*0.05,2)</f>
        <v>839.7694751199999</v>
      </c>
      <c r="E42" s="44">
        <f t="shared" si="2"/>
        <v>420</v>
      </c>
      <c r="F42" s="46">
        <f>ROUNDDOWN($E$7*E42/12/2,2)+ROUNDDOWN($E$7*E42/12/2,2)*0.03-ROUNDDOWN($E$7*E42/12/2,2)*Intro!$F$7-(ROUNDDOWN($E$7*E42/12/2,2)+ROUNDDOWN($E$7*E42/12/2,2)*0.03+ROUNDDOWN($F$47,2))*Intro!$F$17*Intro!$F$19-(ROUNDDOWN($E$7*E42/12/2,2)+ROUNDDOWN($E$7*E42/12/2,2)*0.03+ROUNDDOWN($F$47,2))*Intro!$F$17*Intro!$F$21-ROUND((($E$7*E42/12/2)*0.03+$F$47)*0.05,2)</f>
        <v>814.9753951199999</v>
      </c>
      <c r="G42" s="46">
        <f t="shared" si="0"/>
        <v>1007.77539512</v>
      </c>
      <c r="H42" s="44">
        <f t="shared" si="3"/>
        <v>420</v>
      </c>
      <c r="I42" s="46">
        <f>ROUNDDOWN($E$7*H42/12/2,2)+ROUNDDOWN($E$7*H42/12/2,2)*0.03-ROUNDDOWN($E$7*H42/12/2,2)*Intro!$F$7-(ROUNDDOWN($E$7*H42/12/2,2)+ROUNDDOWN($E$7*H42/12/2,2)*0.03+ROUNDDOWN($J$47,2))*Intro!$F$17*Intro!$F$19-(ROUNDDOWN($E$7*H42/12/2,2)+ROUNDDOWN($E$7*H42/12/2,2)*0.03+ROUNDDOWN($J$47,2))*Intro!$F$17*Intro!$F$21-ROUND((($E$7*H42/12/2)*0.03+$J$47)*0.05,2)</f>
        <v>839.7694751199999</v>
      </c>
      <c r="J42" s="46">
        <f t="shared" si="1"/>
        <v>839.7694751199999</v>
      </c>
    </row>
    <row r="43" spans="2:10" ht="19.5" customHeight="1">
      <c r="B43" s="43">
        <v>9</v>
      </c>
      <c r="C43" s="44">
        <f>Indices!C13</f>
        <v>441</v>
      </c>
      <c r="D43" s="46">
        <f>ROUNDDOWN($E$7*C43/12/2,2)+ROUNDDOWN($E$7*C43/12/2,2)*0.03-ROUNDDOWN($E$7*C43/12/2,2)*Intro!$F$7-(ROUNDDOWN($E$7*C43/12/2,2)+ROUNDDOWN($E$7*C43/12/2,2)*0.03)*Intro!$F$17*Intro!$F$19-(ROUNDDOWN($E$7*C43/12/2,2)+ROUNDDOWN($E$7*C43/12/2,2)*0.03)*Intro!$F$17*Intro!$F$21-ROUND((($E$7*C43/12/2)*0.03)*0.05,2)</f>
        <v>881.7540277400001</v>
      </c>
      <c r="E43" s="44">
        <f t="shared" si="2"/>
        <v>441</v>
      </c>
      <c r="F43" s="46">
        <f>ROUNDDOWN($E$7*E43/12/2,2)+ROUNDDOWN($E$7*E43/12/2,2)*0.03-ROUNDDOWN($E$7*E43/12/2,2)*Intro!$F$7-(ROUNDDOWN($E$7*E43/12/2,2)+ROUNDDOWN($E$7*E43/12/2,2)*0.03+ROUNDDOWN($F$47,2))*Intro!$F$17*Intro!$F$19-(ROUNDDOWN($E$7*E43/12/2,2)+ROUNDDOWN($E$7*E43/12/2,2)*0.03+ROUNDDOWN($F$47,2))*Intro!$F$17*Intro!$F$21-ROUND((($E$7*E43/12/2)*0.03+$F$47)*0.05,2)</f>
        <v>856.9599477400001</v>
      </c>
      <c r="G43" s="46">
        <f t="shared" si="0"/>
        <v>1049.7599477400001</v>
      </c>
      <c r="H43" s="44">
        <f t="shared" si="3"/>
        <v>441</v>
      </c>
      <c r="I43" s="46">
        <f>ROUNDDOWN($E$7*H43/12/2,2)+ROUNDDOWN($E$7*H43/12/2,2)*0.03-ROUNDDOWN($E$7*H43/12/2,2)*Intro!$F$7-(ROUNDDOWN($E$7*H43/12/2,2)+ROUNDDOWN($E$7*H43/12/2,2)*0.03+ROUNDDOWN($J$47,2))*Intro!$F$17*Intro!$F$19-(ROUNDDOWN($E$7*H43/12/2,2)+ROUNDDOWN($E$7*H43/12/2,2)*0.03+ROUNDDOWN($J$47,2))*Intro!$F$17*Intro!$F$21-ROUND((($E$7*H43/12/2)*0.03+$J$47)*0.05,2)</f>
        <v>881.7540277400001</v>
      </c>
      <c r="J43" s="46">
        <f t="shared" si="1"/>
        <v>881.7540277400001</v>
      </c>
    </row>
    <row r="44" spans="2:10" ht="19.5" customHeight="1">
      <c r="B44" s="43">
        <v>10</v>
      </c>
      <c r="C44" s="44">
        <f>Indices!C14</f>
        <v>469</v>
      </c>
      <c r="D44" s="46">
        <f>ROUNDDOWN($E$7*C44/12/2,2)+ROUNDDOWN($E$7*C44/12/2,2)*0.03-ROUNDDOWN($E$7*C44/12/2,2)*Intro!$F$7-(ROUNDDOWN($E$7*C44/12/2,2)+ROUNDDOWN($E$7*C44/12/2,2)*0.03)*Intro!$F$17*Intro!$F$19-(ROUNDDOWN($E$7*C44/12/2,2)+ROUNDDOWN($E$7*C44/12/2,2)*0.03)*Intro!$F$17*Intro!$F$21-ROUND((($E$7*C44/12/2)*0.03)*0.05,2)</f>
        <v>937.7411836</v>
      </c>
      <c r="E44" s="44">
        <f t="shared" si="2"/>
        <v>469</v>
      </c>
      <c r="F44" s="46">
        <f>ROUNDDOWN($E$7*E44/12/2,2)+ROUNDDOWN($E$7*E44/12/2,2)*0.03-ROUNDDOWN($E$7*E44/12/2,2)*Intro!$F$7-(ROUNDDOWN($E$7*E44/12/2,2)+ROUNDDOWN($E$7*E44/12/2,2)*0.03+ROUNDDOWN($F$47,2))*Intro!$F$17*Intro!$F$19-(ROUNDDOWN($E$7*E44/12/2,2)+ROUNDDOWN($E$7*E44/12/2,2)*0.03+ROUNDDOWN($F$47,2))*Intro!$F$17*Intro!$F$21-ROUND((($E$7*E44/12/2)*0.03+$F$47)*0.05,2)</f>
        <v>912.9471036000001</v>
      </c>
      <c r="G44" s="46">
        <f t="shared" si="0"/>
        <v>1105.7471036000002</v>
      </c>
      <c r="H44" s="44">
        <f t="shared" si="3"/>
        <v>469</v>
      </c>
      <c r="I44" s="46">
        <f>ROUNDDOWN($E$7*H44/12/2,2)+ROUNDDOWN($E$7*H44/12/2,2)*0.03-ROUNDDOWN($E$7*H44/12/2,2)*Intro!$F$7-(ROUNDDOWN($E$7*H44/12/2,2)+ROUNDDOWN($E$7*H44/12/2,2)*0.03+ROUNDDOWN($J$47,2))*Intro!$F$17*Intro!$F$19-(ROUNDDOWN($E$7*H44/12/2,2)+ROUNDDOWN($E$7*H44/12/2,2)*0.03+ROUNDDOWN($J$47,2))*Intro!$F$17*Intro!$F$21-ROUND((($E$7*H44/12/2)*0.03+$J$47)*0.05,2)</f>
        <v>937.7411836</v>
      </c>
      <c r="J44" s="46">
        <f t="shared" si="1"/>
        <v>937.7411836</v>
      </c>
    </row>
    <row r="45" spans="2:10" ht="19.5" customHeight="1" thickBot="1">
      <c r="B45" s="48">
        <v>11</v>
      </c>
      <c r="C45" s="49">
        <f>Indices!C15</f>
        <v>515</v>
      </c>
      <c r="D45" s="51">
        <f>ROUNDDOWN($E$7*C45/12/2,2)+ROUNDDOWN($E$7*C45/12/2,2)*0.03-ROUNDDOWN($E$7*C45/12/2,2)*Intro!$F$7-(ROUNDDOWN($E$7*C45/12/2,2)+ROUNDDOWN($E$7*C45/12/2,2)*0.03)*Intro!$F$17*Intro!$F$19-(ROUNDDOWN($E$7*C45/12/2,2)+ROUNDDOWN($E$7*C45/12/2,2)*0.03)*Intro!$F$17*Intro!$F$21-ROUND((($E$7*C45/12/2)*0.03)*0.05,2)</f>
        <v>1029.7188066</v>
      </c>
      <c r="E45" s="49">
        <f t="shared" si="2"/>
        <v>515</v>
      </c>
      <c r="F45" s="51">
        <f>ROUNDDOWN($E$7*E45/12/2,2)+ROUNDDOWN($E$7*E45/12/2,2)*0.03-ROUNDDOWN($E$7*E45/12/2,2)*Intro!$F$7-(ROUNDDOWN($E$7*E45/12/2,2)+ROUNDDOWN($E$7*E45/12/2,2)*0.03+ROUNDDOWN($F$47,2))*Intro!$F$17*Intro!$F$19-(ROUNDDOWN($E$7*E45/12/2,2)+ROUNDDOWN($E$7*E45/12/2,2)*0.03+ROUNDDOWN($F$47,2))*Intro!$F$17*Intro!$F$21-ROUND((($E$7*E45/12/2)*0.03+$F$47)*0.05,2)</f>
        <v>1004.9247266000001</v>
      </c>
      <c r="G45" s="51">
        <f t="shared" si="0"/>
        <v>1197.7247266000002</v>
      </c>
      <c r="H45" s="49">
        <f t="shared" si="3"/>
        <v>515</v>
      </c>
      <c r="I45" s="51">
        <f>ROUNDDOWN($E$7*H45/12/2,2)+ROUNDDOWN($E$7*H45/12/2,2)*0.03-ROUNDDOWN($E$7*H45/12/2,2)*Intro!$F$7-(ROUNDDOWN($E$7*H45/12/2,2)+ROUNDDOWN($E$7*H45/12/2,2)*0.03+ROUNDDOWN($J$47,2))*Intro!$F$17*Intro!$F$19-(ROUNDDOWN($E$7*H45/12/2,2)+ROUNDDOWN($E$7*H45/12/2,2)*0.03+ROUNDDOWN($J$47,2))*Intro!$F$17*Intro!$F$21-ROUND((($E$7*H45/12/2)*0.03+$J$47)*0.05,2)</f>
        <v>1029.7188066</v>
      </c>
      <c r="J45" s="51">
        <f t="shared" si="1"/>
        <v>1029.7188066</v>
      </c>
    </row>
    <row r="46" spans="3:11" ht="15.75" thickBot="1" thickTop="1">
      <c r="C46" s="53"/>
      <c r="D46" s="53"/>
      <c r="E46" s="53"/>
      <c r="F46" s="196" t="s">
        <v>10</v>
      </c>
      <c r="G46" s="196"/>
      <c r="H46" s="196"/>
      <c r="I46" s="196"/>
      <c r="J46" s="196"/>
      <c r="K46" s="87"/>
    </row>
    <row r="47" spans="1:12" ht="16.5" thickBot="1" thickTop="1">
      <c r="A47" s="56"/>
      <c r="B47" s="56"/>
      <c r="C47" s="90" t="s">
        <v>9</v>
      </c>
      <c r="D47" s="92">
        <f>Intro!H4</f>
        <v>39082</v>
      </c>
      <c r="E47" s="56"/>
      <c r="F47" s="189">
        <f>Intro!C4</f>
        <v>192.8</v>
      </c>
      <c r="G47" s="190"/>
      <c r="H47" s="91"/>
      <c r="I47" s="189">
        <f>Intro!F4</f>
        <v>241</v>
      </c>
      <c r="J47" s="190"/>
      <c r="K47" s="56"/>
      <c r="L47" s="56"/>
    </row>
    <row r="48" ht="15" thickTop="1"/>
  </sheetData>
  <sheetProtection sheet="1"/>
  <mergeCells count="33">
    <mergeCell ref="C15:F16"/>
    <mergeCell ref="E17:G18"/>
    <mergeCell ref="B4:H5"/>
    <mergeCell ref="F46:J46"/>
    <mergeCell ref="F47:G47"/>
    <mergeCell ref="I47:J47"/>
    <mergeCell ref="C12:D12"/>
    <mergeCell ref="D33:D34"/>
    <mergeCell ref="E33:E34"/>
    <mergeCell ref="F33:G33"/>
    <mergeCell ref="I4:J4"/>
    <mergeCell ref="B2:C2"/>
    <mergeCell ref="E7:F7"/>
    <mergeCell ref="E8:F8"/>
    <mergeCell ref="E9:F9"/>
    <mergeCell ref="I5:J5"/>
    <mergeCell ref="G7:J9"/>
    <mergeCell ref="H33:H34"/>
    <mergeCell ref="I33:J33"/>
    <mergeCell ref="C31:J31"/>
    <mergeCell ref="C32:D32"/>
    <mergeCell ref="E32:G32"/>
    <mergeCell ref="H32:J32"/>
    <mergeCell ref="B33:B34"/>
    <mergeCell ref="C33:C34"/>
    <mergeCell ref="H21:K22"/>
    <mergeCell ref="H25:K26"/>
    <mergeCell ref="B13:B14"/>
    <mergeCell ref="E19:E20"/>
    <mergeCell ref="C13:C14"/>
    <mergeCell ref="F19:F20"/>
    <mergeCell ref="D13:D14"/>
    <mergeCell ref="G19:G20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showGridLines="0" showRowColHeaders="0" zoomScaleSheetLayoutView="100" zoomScalePageLayoutView="0" workbookViewId="0" topLeftCell="A25">
      <selection activeCell="N43" sqref="N43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177" t="s">
        <v>48</v>
      </c>
      <c r="C4" s="178"/>
      <c r="D4" s="178"/>
      <c r="E4" s="178"/>
      <c r="F4" s="178"/>
      <c r="G4" s="178"/>
      <c r="H4" s="178"/>
      <c r="I4" s="159" t="s">
        <v>59</v>
      </c>
      <c r="J4" s="160"/>
    </row>
    <row r="5" spans="2:10" s="24" customFormat="1" ht="36" customHeight="1" thickBot="1">
      <c r="B5" s="179"/>
      <c r="C5" s="180"/>
      <c r="D5" s="180"/>
      <c r="E5" s="180"/>
      <c r="F5" s="180"/>
      <c r="G5" s="180"/>
      <c r="H5" s="180"/>
      <c r="I5" s="161">
        <f>Intro!H2</f>
        <v>39478</v>
      </c>
      <c r="J5" s="162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174">
        <f>Intro!F2</f>
        <v>55.5635</v>
      </c>
      <c r="F7" s="175"/>
      <c r="G7" s="181" t="s">
        <v>32</v>
      </c>
      <c r="H7" s="181"/>
      <c r="I7" s="181"/>
      <c r="J7" s="181"/>
      <c r="K7" s="75"/>
    </row>
    <row r="8" spans="2:10" s="28" customFormat="1" ht="18" customHeight="1">
      <c r="B8" s="27"/>
      <c r="D8" s="29" t="s">
        <v>2</v>
      </c>
      <c r="E8" s="176">
        <f>ROUNDDOWN(E7/12,2)</f>
        <v>4.63</v>
      </c>
      <c r="F8" s="176"/>
      <c r="G8" s="181"/>
      <c r="H8" s="181"/>
      <c r="I8" s="181"/>
      <c r="J8" s="181"/>
    </row>
    <row r="9" spans="2:11" s="28" customFormat="1" ht="18" customHeight="1">
      <c r="B9" s="27"/>
      <c r="D9" s="29" t="s">
        <v>3</v>
      </c>
      <c r="E9" s="176">
        <f>ROUNDDOWN($E$7/12,2)+ROUNDDOWN($E$7/12,2)*0.01-ROUNDDOWN($E$7/12,2)*Intro!$F$7-(ROUNDDOWN($E$7/12,2)+ROUNDDOWN($E$7/12,2)*0.01)*Intro!$F$17*Intro!$F$19-(ROUNDDOWN($E$7/12,2)+ROUNDDOWN($E$7/12,2)*0.01)*Intro!$F$17*Intro!$F$21-(ROUNDDOWN($E$7/12,2)+ROUNDDOWN($E$7/12,2)*0.01-ROUNDDOWN($E$7/12,2)*Intro!$F$7-ROUNDDOWN($E$7/12,2)*0.01*0.05)*0.01</f>
        <v>3.8774305399999998</v>
      </c>
      <c r="F9" s="176"/>
      <c r="G9" s="181"/>
      <c r="H9" s="181"/>
      <c r="I9" s="181"/>
      <c r="J9" s="181"/>
      <c r="K9" s="75"/>
    </row>
    <row r="10" spans="2:7" s="28" customFormat="1" ht="18" customHeight="1">
      <c r="B10" s="27"/>
      <c r="D10" s="77" t="s">
        <v>11</v>
      </c>
      <c r="E10" s="76"/>
      <c r="F10" s="76"/>
      <c r="G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56" t="s">
        <v>17</v>
      </c>
      <c r="D12" s="158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154" t="s">
        <v>13</v>
      </c>
      <c r="C13" s="167" t="s">
        <v>14</v>
      </c>
      <c r="D13" s="171" t="s">
        <v>15</v>
      </c>
      <c r="E13" s="28"/>
      <c r="F13" s="28"/>
      <c r="G13" s="28"/>
      <c r="H13" s="28"/>
      <c r="I13" s="28"/>
      <c r="J13" s="79"/>
      <c r="K13" s="79"/>
      <c r="L13" s="79"/>
    </row>
    <row r="14" spans="1:12" s="34" customFormat="1" ht="19.5" customHeight="1" thickBot="1">
      <c r="A14" s="63"/>
      <c r="B14" s="155"/>
      <c r="C14" s="168"/>
      <c r="D14" s="172" t="s">
        <v>18</v>
      </c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91" t="s">
        <v>51</v>
      </c>
      <c r="D15" s="191"/>
      <c r="E15" s="191"/>
      <c r="F15" s="192"/>
      <c r="G15" s="63"/>
      <c r="H15" s="63"/>
      <c r="I15" s="63"/>
      <c r="J15" s="79"/>
      <c r="K15" s="79"/>
      <c r="L15" s="79"/>
    </row>
    <row r="16" spans="1:12" ht="19.5" customHeight="1" thickBot="1">
      <c r="A16" s="63"/>
      <c r="B16" s="43">
        <v>2</v>
      </c>
      <c r="C16" s="193"/>
      <c r="D16" s="193"/>
      <c r="E16" s="194"/>
      <c r="F16" s="195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/2,2)+ROUNDDOWN($E$7*C17/12/2,2)*0.01-ROUNDDOWN($E$7*C17/12/2,2)*Intro!$F$7-(ROUNDDOWN($E$7*C17/12/2,2)+ROUNDDOWN($E$7*C17/12/2,2)*0.01)*Intro!$F$17*Intro!$F$19-(ROUNDDOWN($E$7*C17/12/2,2)+ROUNDDOWN($E$7*C17/12/2,2)*0.01)*Intro!$F$17*Intro!$F$21-ROUND((($E$7*C17/12/2)*0.01)*0.05,2)</f>
        <v>846.33253996</v>
      </c>
      <c r="E17" s="185" t="s">
        <v>45</v>
      </c>
      <c r="F17" s="185"/>
      <c r="G17" s="186"/>
      <c r="H17" s="63"/>
      <c r="I17" s="63"/>
      <c r="J17" s="63"/>
      <c r="K17" s="79"/>
      <c r="L17" s="28"/>
    </row>
    <row r="18" spans="2:10" ht="19.5" customHeight="1" thickBot="1">
      <c r="B18" s="43">
        <v>4</v>
      </c>
      <c r="C18" s="44">
        <f>Indices!F8</f>
        <v>445</v>
      </c>
      <c r="D18" s="65">
        <f>ROUNDDOWN($E$7*C18/12/2,2)+ROUNDDOWN($E$7*C18/12/2,2)*0.01-ROUNDDOWN($E$7*C18/12/2,2)*Intro!$F$7-(ROUNDDOWN($E$7*C18/12/2,2)+ROUNDDOWN($E$7*C18/12/2,2)*0.01)*Intro!$F$17*Intro!$F$19-(ROUNDDOWN($E$7*C18/12/2,2)+ROUNDDOWN($E$7*C18/12/2,2)*0.01)*Intro!$F$17*Intro!$F$21-ROUND((($E$7*C18/12/2)*0.01)*0.05,2)</f>
        <v>871.7901642200001</v>
      </c>
      <c r="E18" s="187"/>
      <c r="F18" s="187"/>
      <c r="G18" s="188"/>
      <c r="H18" s="63"/>
      <c r="I18" s="63"/>
      <c r="J18" s="63"/>
    </row>
    <row r="19" spans="2:11" ht="19.5" customHeight="1" thickTop="1">
      <c r="B19" s="43">
        <v>5</v>
      </c>
      <c r="C19" s="44">
        <f>Indices!F9</f>
        <v>458</v>
      </c>
      <c r="D19" s="65">
        <f>ROUNDDOWN($E$7*C19/12/2,2)+ROUNDDOWN($E$7*C19/12/2,2)*0.01-ROUNDDOWN($E$7*C19/12/2,2)*Intro!$F$7-(ROUNDDOWN($E$7*C19/12/2,2)+ROUNDDOWN($E$7*C19/12/2,2)*0.01)*Intro!$F$17*Intro!$F$19-(ROUNDDOWN($E$7*C19/12/2,2)+ROUNDDOWN($E$7*C19/12/2,2)*0.01)*Intro!$F$17*Intro!$F$21-ROUND((($E$7*C19/12/2)*0.01)*0.05,2)</f>
        <v>897.2662556199999</v>
      </c>
      <c r="E19" s="165" t="s">
        <v>13</v>
      </c>
      <c r="F19" s="169" t="s">
        <v>14</v>
      </c>
      <c r="G19" s="171" t="s">
        <v>15</v>
      </c>
      <c r="H19" s="66" t="s">
        <v>16</v>
      </c>
      <c r="I19" s="84"/>
      <c r="J19" s="84"/>
      <c r="K19" s="84"/>
    </row>
    <row r="20" spans="2:11" ht="19.5" customHeight="1" thickBot="1">
      <c r="B20" s="43">
        <v>6</v>
      </c>
      <c r="C20" s="44">
        <f>Indices!F10</f>
        <v>467</v>
      </c>
      <c r="D20" s="65">
        <f>ROUNDDOWN($E$7*C20/12/2,2)+ROUNDDOWN($E$7*C20/12/2,2)*0.01-ROUNDDOWN($E$7*C20/12/2,2)*Intro!$F$7-(ROUNDDOWN($E$7*C20/12/2,2)+ROUNDDOWN($E$7*C20/12/2,2)*0.01)*Intro!$F$17*Intro!$F$19-(ROUNDDOWN($E$7*C20/12/2,2)+ROUNDDOWN($E$7*C20/12/2,2)*0.01)*Intro!$F$17*Intro!$F$21-ROUND((($E$7*C20/12/2)*0.01)*0.05,2)</f>
        <v>914.9017753800001</v>
      </c>
      <c r="E20" s="166"/>
      <c r="F20" s="170"/>
      <c r="G20" s="172" t="s">
        <v>18</v>
      </c>
      <c r="H20" s="85" t="str">
        <f>"Retraite "&amp;Intro!F7*100&amp;" % du traitement brut"</f>
        <v>Retraite 8,39 % du traitement brut</v>
      </c>
      <c r="I20" s="71"/>
      <c r="J20" s="71"/>
      <c r="K20" s="71"/>
    </row>
    <row r="21" spans="2:11" ht="19.5" customHeight="1" thickTop="1">
      <c r="B21" s="43">
        <v>7</v>
      </c>
      <c r="C21" s="44">
        <f>Indices!F11</f>
        <v>495</v>
      </c>
      <c r="D21" s="65">
        <f>ROUNDDOWN($E$7*C21/12/2,2)+ROUNDDOWN($E$7*C21/12/2,2)*0.01-ROUNDDOWN($E$7*C21/12/2,2)*Intro!$F$7-(ROUNDDOWN($E$7*C21/12/2,2)+ROUNDDOWN($E$7*C21/12/2,2)*0.01)*Intro!$F$17*Intro!$F$19-(ROUNDDOWN($E$7*C21/12/2,2)+ROUNDDOWN($E$7*C21/12/2,2)*0.01)*Intro!$F$17*Intro!$F$21-ROUND((($E$7*C21/12/2)*0.01)*0.05,2)</f>
        <v>969.7557768600001</v>
      </c>
      <c r="E21" s="67">
        <v>1</v>
      </c>
      <c r="F21" s="68">
        <f>Indices!I5</f>
        <v>495</v>
      </c>
      <c r="G21" s="64">
        <f>ROUNDDOWN($E$7*F21/12/2,2)+ROUNDDOWN($E$7*F21/12/2,2)*0.01-ROUNDDOWN($E$7*F21/12/2,2)*Intro!$F$7-(ROUNDDOWN($E$7*F21/12/2,2)+ROUNDDOWN($E$7*F21/12/2,2)*0.01)*Intro!$F$17*Intro!$F$19-(ROUNDDOWN($E$7*F21/12/2,2)+ROUNDDOWN($E$7*F21/12/2,2)*0.01)*Intro!$F$17*Intro!$F$21-ROUND((($E$7*F21/12/2)*0.01)*0.05,2)</f>
        <v>969.7557768600001</v>
      </c>
      <c r="H21" s="163" t="s">
        <v>44</v>
      </c>
      <c r="I21" s="164"/>
      <c r="J21" s="164"/>
      <c r="K21" s="164"/>
    </row>
    <row r="22" spans="2:11" ht="19.5" customHeight="1">
      <c r="B22" s="43">
        <v>8</v>
      </c>
      <c r="C22" s="44">
        <f>Indices!F12</f>
        <v>531</v>
      </c>
      <c r="D22" s="65">
        <f>ROUNDDOWN($E$7*C22/12/2,2)+ROUNDDOWN($E$7*C22/12/2,2)*0.01-ROUNDDOWN($E$7*C22/12/2,2)*Intro!$F$7-(ROUNDDOWN($E$7*C22/12/2,2)+ROUNDDOWN($E$7*C22/12/2,2)*0.01)*Intro!$F$17*Intro!$F$19-(ROUNDDOWN($E$7*C22/12/2,2)+ROUNDDOWN($E$7*C22/12/2,2)*0.01)*Intro!$F$17*Intro!$F$21-ROUND((($E$7*C22/12/2)*0.01)*0.05,2)</f>
        <v>1040.2893887599998</v>
      </c>
      <c r="E22" s="69">
        <v>2</v>
      </c>
      <c r="F22" s="70">
        <f>Indices!I6</f>
        <v>560</v>
      </c>
      <c r="G22" s="65">
        <f>ROUNDDOWN($E$7*F22/12/2,2)+ROUNDDOWN($E$7*F22/12/2,2)*0.01-ROUNDDOWN($E$7*F22/12/2,2)*Intro!$F$7-(ROUNDDOWN($E$7*F22/12/2,2)+ROUNDDOWN($E$7*F22/12/2,2)*0.01)*Intro!$F$17*Intro!$F$19-(ROUNDDOWN($E$7*F22/12/2,2)+ROUNDDOWN($E$7*F22/12/2,2)*0.01)*Intro!$F$17*Intro!$F$21-ROUND((($E$7*F22/12/2)*0.01)*0.05,2)</f>
        <v>1097.0977667199998</v>
      </c>
      <c r="H22" s="163"/>
      <c r="I22" s="164"/>
      <c r="J22" s="164"/>
      <c r="K22" s="164"/>
    </row>
    <row r="23" spans="2:11" ht="19.5" customHeight="1">
      <c r="B23" s="43">
        <v>9</v>
      </c>
      <c r="C23" s="44">
        <f>Indices!F13</f>
        <v>567</v>
      </c>
      <c r="D23" s="65">
        <f>ROUNDDOWN($E$7*C23/12/2,2)+ROUNDDOWN($E$7*C23/12/2,2)*0.01-ROUNDDOWN($E$7*C23/12/2,2)*Intro!$F$7-(ROUNDDOWN($E$7*C23/12/2,2)+ROUNDDOWN($E$7*C23/12/2,2)*0.01)*Intro!$F$17*Intro!$F$19-(ROUNDDOWN($E$7*C23/12/2,2)+ROUNDDOWN($E$7*C23/12/2,2)*0.01)*Intro!$F$17*Intro!$F$21-ROUND((($E$7*C23/12/2)*0.01)*0.05,2)</f>
        <v>1110.8045335200002</v>
      </c>
      <c r="E23" s="69">
        <v>3</v>
      </c>
      <c r="F23" s="70">
        <f>Indices!I7</f>
        <v>601</v>
      </c>
      <c r="G23" s="65">
        <f>ROUNDDOWN($E$7*F23/12/2,2)+ROUNDDOWN($E$7*F23/12/2,2)*0.01-ROUNDDOWN($E$7*F23/12/2,2)*Intro!$F$7-(ROUNDDOWN($E$7*F23/12/2,2)+ROUNDDOWN($E$7*F23/12/2,2)*0.01)*Intro!$F$17*Intro!$F$19-(ROUNDDOWN($E$7*F23/12/2,2)+ROUNDDOWN($E$7*F23/12/2,2)*0.01)*Intro!$F$17*Intro!$F$21-ROUND((($E$7*F23/12/2)*0.01)*0.05,2)</f>
        <v>1177.4178596000002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/2,2)+ROUNDDOWN($E$7*C24/12/2,2)*0.01-ROUNDDOWN($E$7*C24/12/2,2)*Intro!$F$7-(ROUNDDOWN($E$7*C24/12/2,2)+ROUNDDOWN($E$7*C24/12/2,2)*0.01)*Intro!$F$17*Intro!$F$19-(ROUNDDOWN($E$7*C24/12/2,2)+ROUNDDOWN($E$7*C24/12/2,2)*0.01)*Intro!$F$17*Intro!$F$21-ROUND((($E$7*C24/12/2)*0.01)*0.05,2)</f>
        <v>1198.96519804</v>
      </c>
      <c r="E24" s="69">
        <v>4</v>
      </c>
      <c r="F24" s="70">
        <f>Indices!I8</f>
        <v>642</v>
      </c>
      <c r="G24" s="65">
        <f>ROUNDDOWN($E$7*F24/12/2,2)+ROUNDDOWN($E$7*F24/12/2,2)*0.01-ROUNDDOWN($E$7*F24/12/2,2)*Intro!$F$7-(ROUNDDOWN($E$7*F24/12/2,2)+ROUNDDOWN($E$7*F24/12/2,2)*0.01)*Intro!$F$17*Intro!$F$19-(ROUNDDOWN($E$7*F24/12/2,2)+ROUNDDOWN($E$7*F24/12/2,2)*0.01)*Intro!$F$17*Intro!$F$21-ROUND((($E$7*F24/12/2)*0.01)*0.05,2)</f>
        <v>1257.7479524799999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/2,2)+ROUNDDOWN($E$7*C25/12/2,2)*0.01-ROUNDDOWN($E$7*C25/12/2,2)*Intro!$F$7-(ROUNDDOWN($E$7*C25/12/2,2)+ROUNDDOWN($E$7*C25/12/2,2)*0.01)*Intro!$F$17*Intro!$F$19-(ROUNDDOWN($E$7*C25/12/2,2)+ROUNDDOWN($E$7*C25/12/2,2)*0.01)*Intro!$F$17*Intro!$F$21-ROUND((($E$7*C25/12/2)*0.01)*0.05,2)</f>
        <v>1289.09023904</v>
      </c>
      <c r="E25" s="69">
        <v>5</v>
      </c>
      <c r="F25" s="70">
        <f>Indices!I9</f>
        <v>695</v>
      </c>
      <c r="G25" s="93">
        <f>ROUNDDOWN($E$7*F25/12/2,2)+ROUNDDOWN($E$7*F25/12/2,2)*0.01-ROUNDDOWN($E$7*F25/12/2,2)*Intro!$F$7-(ROUNDDOWN($E$7*F25/12/2,2)+ROUNDDOWN($E$7*F25/12/2,2)*0.01)*Intro!$F$17*Intro!$F$19-(ROUNDDOWN($E$7*F25/12/2,2)+ROUNDDOWN($E$7*F25/12/2,2)*0.01)*Intro!$F$17*Intro!$F$21-ROUND((($E$7*F25/12/2)*0.01)*0.05,2)-(ROUNDDOWN($E$7*F25/12/2,2)+ROUNDDOWN($E$7*F25/12/2,2)*0.01-ROUNDDOWN($E$7*F25/12/2,2)*Intro!$F$7-ROUND($E$7*F25/12/2*0.03*0.05,2))*0.01</f>
        <v>1346.70272606</v>
      </c>
      <c r="H25" s="163" t="s">
        <v>41</v>
      </c>
      <c r="I25" s="164"/>
      <c r="J25" s="164"/>
      <c r="K25" s="164"/>
    </row>
    <row r="26" spans="5:11" ht="19.5" customHeight="1" thickTop="1">
      <c r="E26" s="43">
        <v>6</v>
      </c>
      <c r="F26" s="70">
        <f>Indices!I10</f>
        <v>741</v>
      </c>
      <c r="G26" s="93">
        <f>ROUNDDOWN($E$7*F26/12/2,2)+ROUNDDOWN($E$7*F26/12/2,2)*0.01-ROUNDDOWN($E$7*F26/12/2,2)*Intro!$F$7-(ROUNDDOWN($E$7*F26/12/2,2)+ROUNDDOWN($E$7*F26/12/2,2)*0.01)*Intro!$F$17*Intro!$F$19-(ROUNDDOWN($E$7*F26/12/2,2)+ROUNDDOWN($E$7*F26/12/2,2)*0.01)*Intro!$F$17*Intro!$F$21-ROUND((($E$7*F26/12/2)*0.01)*0.05,2)-(ROUNDDOWN($E$7*F26/12/2,2)+ROUNDDOWN($E$7*F26/12/2,2)*0.01-ROUNDDOWN($E$7*F26/12/2,2)*Intro!$F$7-ROUND($E$7*F26/12/2*0.03*0.05,2))*0.01</f>
        <v>1435.8330705600001</v>
      </c>
      <c r="H26" s="163"/>
      <c r="I26" s="164"/>
      <c r="J26" s="164"/>
      <c r="K26" s="164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94">
        <f>ROUNDDOWN($E$7*F27/12/2,2)+ROUNDDOWN($E$7*F27/12/2,2)*0.01-ROUNDDOWN($E$7*F27/12/2,2)*Intro!$F$7-(ROUNDDOWN($E$7*F27/12/2,2)+ROUNDDOWN($E$7*F27/12/2,2)*0.01)*Intro!$F$17*Intro!$F$19-(ROUNDDOWN($E$7*F27/12/2,2)+ROUNDDOWN($E$7*F27/12/2,2)*0.01)*Intro!$F$17*Intro!$F$21-ROUND((($E$7*F27/12/2)*0.01)*0.05,2)-(ROUNDDOWN($E$7*F27/12/2,2)+ROUNDDOWN($E$7*F27/12/2,2)*0.01-ROUNDDOWN($E$7*F27/12/2,2)*Intro!$F$7-ROUND($E$7*F27/12/2*0.03*0.05,2))*0.01</f>
        <v>1517.2101257499999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3" s="56" customFormat="1" ht="39.75" customHeight="1">
      <c r="A29" s="22"/>
      <c r="B29" s="95" t="s">
        <v>31</v>
      </c>
      <c r="C29" s="63"/>
      <c r="D29" s="63"/>
      <c r="E29" s="63"/>
      <c r="F29" s="22"/>
      <c r="G29" s="22"/>
      <c r="H29" s="22"/>
      <c r="I29" s="22"/>
      <c r="J29" s="22"/>
      <c r="K29" s="22"/>
      <c r="L29" s="22"/>
      <c r="M29" s="22"/>
    </row>
    <row r="30" spans="2:13" ht="19.5" customHeight="1" thickBot="1">
      <c r="B30" s="28"/>
      <c r="C30" s="28"/>
      <c r="D30" s="28"/>
      <c r="E30" s="28"/>
      <c r="F30" s="28"/>
      <c r="G30" s="28"/>
      <c r="H30" s="28"/>
      <c r="I30" s="28"/>
      <c r="J30" s="77" t="s">
        <v>37</v>
      </c>
      <c r="K30" s="28"/>
      <c r="L30" s="28"/>
      <c r="M30" s="28"/>
    </row>
    <row r="31" spans="1:13" s="28" customFormat="1" ht="19.5" customHeight="1" thickBot="1" thickTop="1">
      <c r="A31" s="22"/>
      <c r="B31" s="32"/>
      <c r="C31" s="156" t="s">
        <v>12</v>
      </c>
      <c r="D31" s="157"/>
      <c r="E31" s="157"/>
      <c r="F31" s="157"/>
      <c r="G31" s="157"/>
      <c r="H31" s="157"/>
      <c r="I31" s="157"/>
      <c r="J31" s="158"/>
      <c r="K31" s="33"/>
      <c r="L31" s="33"/>
      <c r="M31" s="63"/>
    </row>
    <row r="32" spans="1:12" s="63" customFormat="1" ht="19.5" customHeight="1" thickBot="1" thickTop="1">
      <c r="A32" s="28"/>
      <c r="B32" s="32"/>
      <c r="C32" s="182" t="s">
        <v>26</v>
      </c>
      <c r="D32" s="183"/>
      <c r="E32" s="182" t="s">
        <v>0</v>
      </c>
      <c r="F32" s="183"/>
      <c r="G32" s="183"/>
      <c r="H32" s="182" t="s">
        <v>1</v>
      </c>
      <c r="I32" s="183"/>
      <c r="J32" s="184"/>
      <c r="K32" s="33"/>
      <c r="L32" s="33"/>
    </row>
    <row r="33" spans="1:12" s="63" customFormat="1" ht="19.5" customHeight="1" thickTop="1">
      <c r="A33" s="33"/>
      <c r="B33" s="154" t="s">
        <v>13</v>
      </c>
      <c r="C33" s="167" t="s">
        <v>14</v>
      </c>
      <c r="D33" s="171" t="s">
        <v>15</v>
      </c>
      <c r="E33" s="167" t="s">
        <v>14</v>
      </c>
      <c r="F33" s="197" t="s">
        <v>15</v>
      </c>
      <c r="G33" s="165"/>
      <c r="H33" s="167" t="s">
        <v>14</v>
      </c>
      <c r="I33" s="197" t="s">
        <v>15</v>
      </c>
      <c r="J33" s="165"/>
      <c r="K33" s="34"/>
      <c r="L33" s="34"/>
    </row>
    <row r="34" spans="1:13" s="63" customFormat="1" ht="19.5" customHeight="1" thickBot="1">
      <c r="A34" s="33"/>
      <c r="B34" s="155"/>
      <c r="C34" s="168"/>
      <c r="D34" s="172" t="s">
        <v>18</v>
      </c>
      <c r="E34" s="198"/>
      <c r="F34" s="35" t="s">
        <v>27</v>
      </c>
      <c r="G34" s="35" t="s">
        <v>28</v>
      </c>
      <c r="H34" s="198"/>
      <c r="I34" s="35" t="s">
        <v>27</v>
      </c>
      <c r="J34" s="35" t="s">
        <v>28</v>
      </c>
      <c r="K34" s="34"/>
      <c r="L34" s="34"/>
      <c r="M34" s="28"/>
    </row>
    <row r="35" spans="1:13" s="28" customFormat="1" ht="19.5" customHeight="1" thickTop="1">
      <c r="A35" s="34"/>
      <c r="B35" s="37">
        <v>1</v>
      </c>
      <c r="C35" s="38">
        <f>Indices!C5</f>
        <v>341</v>
      </c>
      <c r="D35" s="41">
        <f>ROUNDDOWN($E$7*C35/12/2,2)+ROUNDDOWN($E$7*C35/12/2,2)*0.01-ROUNDDOWN($E$7*C35/12/2,2)*Intro!$F$7-(ROUNDDOWN($E$7*C35/12/2,2)+ROUNDDOWN($E$7*C35/12/2,2)*0.01)*Intro!$F$17*Intro!$F$19-(ROUNDDOWN($E$7*C35/12/2,2)+ROUNDDOWN($E$7*C35/12/2,2)*0.01)*Intro!$F$17*Intro!$F$21-ROUND((($E$7*C35/12/2)*0.01)*0.05,2)</f>
        <v>668.05683444</v>
      </c>
      <c r="E35" s="40">
        <f>C35</f>
        <v>341</v>
      </c>
      <c r="F35" s="41">
        <f>ROUNDDOWN($E$7*E35/12/2,2)+ROUNDDOWN($E$7*E35/12/2,2)*0.01-ROUNDDOWN($E$7*E35/12/2,2)*Intro!$F$7-(ROUNDDOWN($E$7*E35/12/2,2)+ROUNDDOWN($E$7*E35/12/2,2)*0.01+ROUNDDOWN($F$47,2))*Intro!$F$17*Intro!$F$19-(ROUNDDOWN($E$7*E35/12/2,2)+ROUNDDOWN($E$7*E35/12/2,2)*0.01+ROUNDDOWN($F$47,2))*Intro!$F$17*Intro!$F$21-ROUND((($E$7*E35/12/2)*0.01+$F$47)*0.05,2)</f>
        <v>643.26275444</v>
      </c>
      <c r="G35" s="41">
        <f aca="true" t="shared" si="0" ref="G35:G45">F35+$F$47</f>
        <v>836.0627544399999</v>
      </c>
      <c r="H35" s="40">
        <f>C35</f>
        <v>341</v>
      </c>
      <c r="I35" s="41">
        <f>ROUNDDOWN($E$7*H35/12/2,2)+ROUNDDOWN($E$7*H35/12/2,2)*0.01-ROUNDDOWN($E$7*H35/12/2,2)*Intro!$F$7-(ROUNDDOWN($E$7*H35/12/2,2)+ROUNDDOWN($E$7*H35/12/2,2)*0.01+ROUNDDOWN($I$47,2))*Intro!$F$17*Intro!$F$19-(ROUNDDOWN($E$7*H35/12/2,2)+ROUNDDOWN($E$7*H35/12/2,2)*0.01+ROUNDDOWN($I$47,2))*Intro!$F$17*Intro!$F$21-ROUND((($E$7*H35/12/2)*0.01+$I$47)*0.05,2)</f>
        <v>637.06423444</v>
      </c>
      <c r="J35" s="41">
        <f aca="true" t="shared" si="1" ref="J35:J45">I35+$I$47</f>
        <v>878.06423444</v>
      </c>
      <c r="K35" s="22"/>
      <c r="L35" s="22"/>
      <c r="M35" s="22"/>
    </row>
    <row r="36" spans="1:10" ht="19.5" customHeight="1">
      <c r="A36" s="34"/>
      <c r="B36" s="43">
        <v>2</v>
      </c>
      <c r="C36" s="44">
        <f>Indices!C6</f>
        <v>357</v>
      </c>
      <c r="D36" s="46">
        <f>ROUNDDOWN($E$7*C36/12/2,2)+ROUNDDOWN($E$7*C36/12/2,2)*0.01-ROUNDDOWN($E$7*C36/12/2,2)*Intro!$F$7-(ROUNDDOWN($E$7*C36/12/2,2)+ROUNDDOWN($E$7*C36/12/2,2)*0.01)*Intro!$F$17*Intro!$F$19-(ROUNDDOWN($E$7*C36/12/2,2)+ROUNDDOWN($E$7*C36/12/2,2)*0.01)*Intro!$F$17*Intro!$F$21-ROUND((($E$7*C36/12/2)*0.01)*0.05,2)</f>
        <v>699.399121</v>
      </c>
      <c r="E36" s="44">
        <f aca="true" t="shared" si="2" ref="E36:E45">C36</f>
        <v>357</v>
      </c>
      <c r="F36" s="46">
        <f>ROUNDDOWN($E$7*E36/12/2,2)+ROUNDDOWN($E$7*E36/12/2,2)*0.01-ROUNDDOWN($E$7*E36/12/2,2)*Intro!$F$7-(ROUNDDOWN($E$7*E36/12/2,2)+ROUNDDOWN($E$7*E36/12/2,2)*0.01+ROUNDDOWN($F$47,2))*Intro!$F$17*Intro!$F$19-(ROUNDDOWN($E$7*E36/12/2,2)+ROUNDDOWN($E$7*E36/12/2,2)*0.01+ROUNDDOWN($F$47,2))*Intro!$F$17*Intro!$F$21-ROUND((($E$7*E36/12/2)*0.01+$F$47)*0.05,2)</f>
        <v>674.605041</v>
      </c>
      <c r="G36" s="46">
        <f t="shared" si="0"/>
        <v>867.405041</v>
      </c>
      <c r="H36" s="44">
        <f aca="true" t="shared" si="3" ref="H36:H45">C36</f>
        <v>357</v>
      </c>
      <c r="I36" s="46">
        <f>ROUNDDOWN($E$7*H36/12/2,2)+ROUNDDOWN($E$7*H36/12/2,2)*0.01-ROUNDDOWN($E$7*H36/12/2,2)*Intro!$F$7-(ROUNDDOWN($E$7*H36/12/2,2)+ROUNDDOWN($E$7*H36/12/2,2)*0.01+ROUNDDOWN($I$47,2))*Intro!$F$17*Intro!$F$19-(ROUNDDOWN($E$7*H36/12/2,2)+ROUNDDOWN($E$7*H36/12/2,2)*0.01+ROUNDDOWN($I$47,2))*Intro!$F$17*Intro!$F$21-ROUND((($E$7*H36/12/2)*0.01+$I$47)*0.05,2)</f>
        <v>668.406521</v>
      </c>
      <c r="J36" s="46">
        <f t="shared" si="1"/>
        <v>909.406521</v>
      </c>
    </row>
    <row r="37" spans="2:10" ht="19.5" customHeight="1">
      <c r="B37" s="43">
        <v>3</v>
      </c>
      <c r="C37" s="44">
        <f>Indices!C7</f>
        <v>366</v>
      </c>
      <c r="D37" s="46">
        <f>ROUNDDOWN($E$7*C37/12/2,2)+ROUNDDOWN($E$7*C37/12/2,2)*0.01-ROUNDDOWN($E$7*C37/12/2,2)*Intro!$F$7-(ROUNDDOWN($E$7*C37/12/2,2)+ROUNDDOWN($E$7*C37/12/2,2)*0.01)*Intro!$F$17*Intro!$F$19-(ROUNDDOWN($E$7*C37/12/2,2)+ROUNDDOWN($E$7*C37/12/2,2)*0.01)*Intro!$F$17*Intro!$F$21-ROUND((($E$7*C37/12/2)*0.01)*0.05,2)</f>
        <v>717.0346407600001</v>
      </c>
      <c r="E37" s="44">
        <f t="shared" si="2"/>
        <v>366</v>
      </c>
      <c r="F37" s="46">
        <f>ROUNDDOWN($E$7*E37/12/2,2)+ROUNDDOWN($E$7*E37/12/2,2)*0.01-ROUNDDOWN($E$7*E37/12/2,2)*Intro!$F$7-(ROUNDDOWN($E$7*E37/12/2,2)+ROUNDDOWN($E$7*E37/12/2,2)*0.01+ROUNDDOWN($F$47,2))*Intro!$F$17*Intro!$F$19-(ROUNDDOWN($E$7*E37/12/2,2)+ROUNDDOWN($E$7*E37/12/2,2)*0.01+ROUNDDOWN($F$47,2))*Intro!$F$17*Intro!$F$21-ROUND((($E$7*E37/12/2)*0.01+$F$47)*0.05,2)</f>
        <v>692.2405607600001</v>
      </c>
      <c r="G37" s="46">
        <f t="shared" si="0"/>
        <v>885.0405607600001</v>
      </c>
      <c r="H37" s="44">
        <f t="shared" si="3"/>
        <v>366</v>
      </c>
      <c r="I37" s="46">
        <f>ROUNDDOWN($E$7*H37/12/2,2)+ROUNDDOWN($E$7*H37/12/2,2)*0.01-ROUNDDOWN($E$7*H37/12/2,2)*Intro!$F$7-(ROUNDDOWN($E$7*H37/12/2,2)+ROUNDDOWN($E$7*H37/12/2,2)*0.01+ROUNDDOWN($I$47,2))*Intro!$F$17*Intro!$F$19-(ROUNDDOWN($E$7*H37/12/2,2)+ROUNDDOWN($E$7*H37/12/2,2)*0.01+ROUNDDOWN($I$47,2))*Intro!$F$17*Intro!$F$21-ROUND((($E$7*H37/12/2)*0.01+$I$47)*0.05,2)</f>
        <v>686.04204076</v>
      </c>
      <c r="J37" s="46">
        <f t="shared" si="1"/>
        <v>927.04204076</v>
      </c>
    </row>
    <row r="38" spans="2:10" ht="19.5" customHeight="1">
      <c r="B38" s="43">
        <v>4</v>
      </c>
      <c r="C38" s="44">
        <f>Indices!C8</f>
        <v>373</v>
      </c>
      <c r="D38" s="46">
        <f>ROUNDDOWN($E$7*C38/12/2,2)+ROUNDDOWN($E$7*C38/12/2,2)*0.01-ROUNDDOWN($E$7*C38/12/2,2)*Intro!$F$7-(ROUNDDOWN($E$7*C38/12/2,2)+ROUNDDOWN($E$7*C38/12/2,2)*0.01)*Intro!$F$17*Intro!$F$19-(ROUNDDOWN($E$7*C38/12/2,2)+ROUNDDOWN($E$7*C38/12/2,2)*0.01)*Intro!$F$17*Intro!$F$21-ROUND((($E$7*C38/12/2)*0.01)*0.05,2)</f>
        <v>730.7414075600001</v>
      </c>
      <c r="E38" s="44">
        <f t="shared" si="2"/>
        <v>373</v>
      </c>
      <c r="F38" s="46">
        <f>ROUNDDOWN($E$7*E38/12/2,2)+ROUNDDOWN($E$7*E38/12/2,2)*0.01-ROUNDDOWN($E$7*E38/12/2,2)*Intro!$F$7-(ROUNDDOWN($E$7*E38/12/2,2)+ROUNDDOWN($E$7*E38/12/2,2)*0.01+ROUNDDOWN($F$47,2))*Intro!$F$17*Intro!$F$19-(ROUNDDOWN($E$7*E38/12/2,2)+ROUNDDOWN($E$7*E38/12/2,2)*0.01+ROUNDDOWN($F$47,2))*Intro!$F$17*Intro!$F$21-ROUND((($E$7*E38/12/2)*0.01+$F$47)*0.05,2)</f>
        <v>705.94732756</v>
      </c>
      <c r="G38" s="46">
        <f t="shared" si="0"/>
        <v>898.74732756</v>
      </c>
      <c r="H38" s="44">
        <f t="shared" si="3"/>
        <v>373</v>
      </c>
      <c r="I38" s="46">
        <f>ROUNDDOWN($E$7*H38/12/2,2)+ROUNDDOWN($E$7*H38/12/2,2)*0.01-ROUNDDOWN($E$7*H38/12/2,2)*Intro!$F$7-(ROUNDDOWN($E$7*H38/12/2,2)+ROUNDDOWN($E$7*H38/12/2,2)*0.01+ROUNDDOWN($I$47,2))*Intro!$F$17*Intro!$F$19-(ROUNDDOWN($E$7*H38/12/2,2)+ROUNDDOWN($E$7*H38/12/2,2)*0.01+ROUNDDOWN($I$47,2))*Intro!$F$17*Intro!$F$21-ROUND((($E$7*H38/12/2)*0.01+$I$47)*0.05,2)</f>
        <v>699.7488075599999</v>
      </c>
      <c r="J38" s="46">
        <f t="shared" si="1"/>
        <v>940.7488075599999</v>
      </c>
    </row>
    <row r="39" spans="2:10" ht="19.5" customHeight="1">
      <c r="B39" s="43">
        <v>5</v>
      </c>
      <c r="C39" s="44">
        <f>Indices!C9</f>
        <v>383</v>
      </c>
      <c r="D39" s="46">
        <f>ROUNDDOWN($E$7*C39/12/2,2)+ROUNDDOWN($E$7*C39/12/2,2)*0.01-ROUNDDOWN($E$7*C39/12/2,2)*Intro!$F$7-(ROUNDDOWN($E$7*C39/12/2,2)+ROUNDDOWN($E$7*C39/12/2,2)*0.01)*Intro!$F$17*Intro!$F$19-(ROUNDDOWN($E$7*C39/12/2,2)+ROUNDDOWN($E$7*C39/12/2,2)*0.01)*Intro!$F$17*Intro!$F$21-ROUND((($E$7*C39/12/2)*0.01)*0.05,2)</f>
        <v>750.3413037999999</v>
      </c>
      <c r="E39" s="44">
        <f t="shared" si="2"/>
        <v>383</v>
      </c>
      <c r="F39" s="46">
        <f>ROUNDDOWN($E$7*E39/12/2,2)+ROUNDDOWN($E$7*E39/12/2,2)*0.01-ROUNDDOWN($E$7*E39/12/2,2)*Intro!$F$7-(ROUNDDOWN($E$7*E39/12/2,2)+ROUNDDOWN($E$7*E39/12/2,2)*0.01+ROUNDDOWN($F$47,2))*Intro!$F$17*Intro!$F$19-(ROUNDDOWN($E$7*E39/12/2,2)+ROUNDDOWN($E$7*E39/12/2,2)*0.01+ROUNDDOWN($F$47,2))*Intro!$F$17*Intro!$F$21-ROUND((($E$7*E39/12/2)*0.01+$F$47)*0.05,2)</f>
        <v>725.5472238</v>
      </c>
      <c r="G39" s="46">
        <f t="shared" si="0"/>
        <v>918.3472237999999</v>
      </c>
      <c r="H39" s="44">
        <f t="shared" si="3"/>
        <v>383</v>
      </c>
      <c r="I39" s="46">
        <f>ROUNDDOWN($E$7*H39/12/2,2)+ROUNDDOWN($E$7*H39/12/2,2)*0.01-ROUNDDOWN($E$7*H39/12/2,2)*Intro!$F$7-(ROUNDDOWN($E$7*H39/12/2,2)+ROUNDDOWN($E$7*H39/12/2,2)*0.01+ROUNDDOWN($I$47,2))*Intro!$F$17*Intro!$F$19-(ROUNDDOWN($E$7*H39/12/2,2)+ROUNDDOWN($E$7*H39/12/2,2)*0.01+ROUNDDOWN($I$47,2))*Intro!$F$17*Intro!$F$21-ROUND((($E$7*H39/12/2)*0.01+$I$47)*0.05,2)</f>
        <v>719.3487038</v>
      </c>
      <c r="J39" s="46">
        <f t="shared" si="1"/>
        <v>960.3487038</v>
      </c>
    </row>
    <row r="40" spans="2:10" ht="19.5" customHeight="1">
      <c r="B40" s="43">
        <v>6</v>
      </c>
      <c r="C40" s="44">
        <f>Indices!C10</f>
        <v>390</v>
      </c>
      <c r="D40" s="46">
        <f>ROUNDDOWN($E$7*C40/12/2,2)+ROUNDDOWN($E$7*C40/12/2,2)*0.01-ROUNDDOWN($E$7*C40/12/2,2)*Intro!$F$7-(ROUNDDOWN($E$7*C40/12/2,2)+ROUNDDOWN($E$7*C40/12/2,2)*0.01)*Intro!$F$17*Intro!$F$19-(ROUNDDOWN($E$7*C40/12/2,2)+ROUNDDOWN($E$7*C40/12/2,2)*0.01)*Intro!$F$17*Intro!$F$21-ROUND((($E$7*C40/12/2)*0.01)*0.05,2)</f>
        <v>764.0480706</v>
      </c>
      <c r="E40" s="44">
        <f t="shared" si="2"/>
        <v>390</v>
      </c>
      <c r="F40" s="46">
        <f>ROUNDDOWN($E$7*E40/12/2,2)+ROUNDDOWN($E$7*E40/12/2,2)*0.01-ROUNDDOWN($E$7*E40/12/2,2)*Intro!$F$7-(ROUNDDOWN($E$7*E40/12/2,2)+ROUNDDOWN($E$7*E40/12/2,2)*0.01+ROUNDDOWN($F$47,2))*Intro!$F$17*Intro!$F$19-(ROUNDDOWN($E$7*E40/12/2,2)+ROUNDDOWN($E$7*E40/12/2,2)*0.01+ROUNDDOWN($F$47,2))*Intro!$F$17*Intro!$F$21-ROUND((($E$7*E40/12/2)*0.01+$F$47)*0.05,2)</f>
        <v>739.2539906</v>
      </c>
      <c r="G40" s="46">
        <f t="shared" si="0"/>
        <v>932.0539905999999</v>
      </c>
      <c r="H40" s="44">
        <f t="shared" si="3"/>
        <v>390</v>
      </c>
      <c r="I40" s="46">
        <f>ROUNDDOWN($E$7*H40/12/2,2)+ROUNDDOWN($E$7*H40/12/2,2)*0.01-ROUNDDOWN($E$7*H40/12/2,2)*Intro!$F$7-(ROUNDDOWN($E$7*H40/12/2,2)+ROUNDDOWN($E$7*H40/12/2,2)*0.01+ROUNDDOWN($I$47,2))*Intro!$F$17*Intro!$F$19-(ROUNDDOWN($E$7*H40/12/2,2)+ROUNDDOWN($E$7*H40/12/2,2)*0.01+ROUNDDOWN($I$47,2))*Intro!$F$17*Intro!$F$21-ROUND((($E$7*H40/12/2)*0.01+$I$47)*0.05,2)</f>
        <v>733.0554706</v>
      </c>
      <c r="J40" s="46">
        <f t="shared" si="1"/>
        <v>974.0554706</v>
      </c>
    </row>
    <row r="41" spans="2:10" ht="19.5" customHeight="1">
      <c r="B41" s="43">
        <v>7</v>
      </c>
      <c r="C41" s="44">
        <f>Indices!C11</f>
        <v>399</v>
      </c>
      <c r="D41" s="46">
        <f>ROUNDDOWN($E$7*C41/12/2,2)+ROUNDDOWN($E$7*C41/12/2,2)*0.01-ROUNDDOWN($E$7*C41/12/2,2)*Intro!$F$7-(ROUNDDOWN($E$7*C41/12/2,2)+ROUNDDOWN($E$7*C41/12/2,2)*0.01)*Intro!$F$17*Intro!$F$19-(ROUNDDOWN($E$7*C41/12/2,2)+ROUNDDOWN($E$7*C41/12/2,2)*0.01)*Intro!$F$17*Intro!$F$21-ROUND((($E$7*C41/12/2)*0.01)*0.05,2)</f>
        <v>781.6835903599999</v>
      </c>
      <c r="E41" s="44">
        <f t="shared" si="2"/>
        <v>399</v>
      </c>
      <c r="F41" s="46">
        <f>ROUNDDOWN($E$7*E41/12/2,2)+ROUNDDOWN($E$7*E41/12/2,2)*0.01-ROUNDDOWN($E$7*E41/12/2,2)*Intro!$F$7-(ROUNDDOWN($E$7*E41/12/2,2)+ROUNDDOWN($E$7*E41/12/2,2)*0.01+ROUNDDOWN($F$47,2))*Intro!$F$17*Intro!$F$19-(ROUNDDOWN($E$7*E41/12/2,2)+ROUNDDOWN($E$7*E41/12/2,2)*0.01+ROUNDDOWN($F$47,2))*Intro!$F$17*Intro!$F$21-ROUND((($E$7*E41/12/2)*0.01+$F$47)*0.05,2)</f>
        <v>756.8895103599999</v>
      </c>
      <c r="G41" s="46">
        <f t="shared" si="0"/>
        <v>949.68951036</v>
      </c>
      <c r="H41" s="44">
        <f t="shared" si="3"/>
        <v>399</v>
      </c>
      <c r="I41" s="46">
        <f>ROUNDDOWN($E$7*H41/12/2,2)+ROUNDDOWN($E$7*H41/12/2,2)*0.01-ROUNDDOWN($E$7*H41/12/2,2)*Intro!$F$7-(ROUNDDOWN($E$7*H41/12/2,2)+ROUNDDOWN($E$7*H41/12/2,2)*0.01+ROUNDDOWN($I$47,2))*Intro!$F$17*Intro!$F$19-(ROUNDDOWN($E$7*H41/12/2,2)+ROUNDDOWN($E$7*H41/12/2,2)*0.01+ROUNDDOWN($I$47,2))*Intro!$F$17*Intro!$F$21-ROUND((($E$7*H41/12/2)*0.01+$I$47)*0.05,2)</f>
        <v>750.69099036</v>
      </c>
      <c r="J41" s="46">
        <f t="shared" si="1"/>
        <v>991.69099036</v>
      </c>
    </row>
    <row r="42" spans="2:10" ht="19.5" customHeight="1">
      <c r="B42" s="43">
        <v>8</v>
      </c>
      <c r="C42" s="44">
        <f>Indices!C12</f>
        <v>420</v>
      </c>
      <c r="D42" s="46">
        <f>ROUNDDOWN($E$7*C42/12/2,2)+ROUNDDOWN($E$7*C42/12/2,2)*0.01-ROUNDDOWN($E$7*C42/12/2,2)*Intro!$F$7-(ROUNDDOWN($E$7*C42/12/2,2)+ROUNDDOWN($E$7*C42/12/2,2)*0.01)*Intro!$F$17*Intro!$F$19-(ROUNDDOWN($E$7*C42/12/2,2)+ROUNDDOWN($E$7*C42/12/2,2)*0.01)*Intro!$F$17*Intro!$F$21-ROUND((($E$7*C42/12/2)*0.01)*0.05,2)</f>
        <v>822.82082504</v>
      </c>
      <c r="E42" s="44">
        <f t="shared" si="2"/>
        <v>420</v>
      </c>
      <c r="F42" s="46">
        <f>ROUNDDOWN($E$7*E42/12/2,2)+ROUNDDOWN($E$7*E42/12/2,2)*0.01-ROUNDDOWN($E$7*E42/12/2,2)*Intro!$F$7-(ROUNDDOWN($E$7*E42/12/2,2)+ROUNDDOWN($E$7*E42/12/2,2)*0.01+ROUNDDOWN($F$47,2))*Intro!$F$17*Intro!$F$19-(ROUNDDOWN($E$7*E42/12/2,2)+ROUNDDOWN($E$7*E42/12/2,2)*0.01+ROUNDDOWN($F$47,2))*Intro!$F$17*Intro!$F$21-ROUND((($E$7*E42/12/2)*0.01+$F$47)*0.05,2)</f>
        <v>798.02674504</v>
      </c>
      <c r="G42" s="46">
        <f t="shared" si="0"/>
        <v>990.8267450400001</v>
      </c>
      <c r="H42" s="44">
        <f t="shared" si="3"/>
        <v>420</v>
      </c>
      <c r="I42" s="46">
        <f>ROUNDDOWN($E$7*H42/12/2,2)+ROUNDDOWN($E$7*H42/12/2,2)*0.01-ROUNDDOWN($E$7*H42/12/2,2)*Intro!$F$7-(ROUNDDOWN($E$7*H42/12/2,2)+ROUNDDOWN($E$7*H42/12/2,2)*0.01+ROUNDDOWN($I$47,2))*Intro!$F$17*Intro!$F$19-(ROUNDDOWN($E$7*H42/12/2,2)+ROUNDDOWN($E$7*H42/12/2,2)*0.01+ROUNDDOWN($I$47,2))*Intro!$F$17*Intro!$F$21-ROUND((($E$7*H42/12/2)*0.01+$I$47)*0.05,2)</f>
        <v>791.82822504</v>
      </c>
      <c r="J42" s="46">
        <f t="shared" si="1"/>
        <v>1032.82822504</v>
      </c>
    </row>
    <row r="43" spans="2:10" ht="19.5" customHeight="1">
      <c r="B43" s="43">
        <v>9</v>
      </c>
      <c r="C43" s="44">
        <f>Indices!C13</f>
        <v>441</v>
      </c>
      <c r="D43" s="46">
        <f>ROUNDDOWN($E$7*C43/12/2,2)+ROUNDDOWN($E$7*C43/12/2,2)*0.01-ROUNDDOWN($E$7*C43/12/2,2)*Intro!$F$7-(ROUNDDOWN($E$7*C43/12/2,2)+ROUNDDOWN($E$7*C43/12/2,2)*0.01)*Intro!$F$17*Intro!$F$19-(ROUNDDOWN($E$7*C43/12/2,2)+ROUNDDOWN($E$7*C43/12/2,2)*0.01)*Intro!$F$17*Intro!$F$21-ROUND((($E$7*C43/12/2)*0.01)*0.05,2)</f>
        <v>863.95959258</v>
      </c>
      <c r="E43" s="44">
        <f t="shared" si="2"/>
        <v>441</v>
      </c>
      <c r="F43" s="46">
        <f>ROUNDDOWN($E$7*E43/12/2,2)+ROUNDDOWN($E$7*E43/12/2,2)*0.01-ROUNDDOWN($E$7*E43/12/2,2)*Intro!$F$7-(ROUNDDOWN($E$7*E43/12/2,2)+ROUNDDOWN($E$7*E43/12/2,2)*0.01+ROUNDDOWN($F$47,2))*Intro!$F$17*Intro!$F$19-(ROUNDDOWN($E$7*E43/12/2,2)+ROUNDDOWN($E$7*E43/12/2,2)*0.01+ROUNDDOWN($F$47,2))*Intro!$F$17*Intro!$F$21-ROUND((($E$7*E43/12/2)*0.01+$F$47)*0.05,2)</f>
        <v>839.16551258</v>
      </c>
      <c r="G43" s="46">
        <f t="shared" si="0"/>
        <v>1031.96551258</v>
      </c>
      <c r="H43" s="44">
        <f t="shared" si="3"/>
        <v>441</v>
      </c>
      <c r="I43" s="46">
        <f>ROUNDDOWN($E$7*H43/12/2,2)+ROUNDDOWN($E$7*H43/12/2,2)*0.01-ROUNDDOWN($E$7*H43/12/2,2)*Intro!$F$7-(ROUNDDOWN($E$7*H43/12/2,2)+ROUNDDOWN($E$7*H43/12/2,2)*0.01+ROUNDDOWN($I$47,2))*Intro!$F$17*Intro!$F$19-(ROUNDDOWN($E$7*H43/12/2,2)+ROUNDDOWN($E$7*H43/12/2,2)*0.01+ROUNDDOWN($I$47,2))*Intro!$F$17*Intro!$F$21-ROUND((($E$7*H43/12/2)*0.01+$I$47)*0.05,2)</f>
        <v>832.9669925800001</v>
      </c>
      <c r="J43" s="46">
        <f t="shared" si="1"/>
        <v>1073.9669925800001</v>
      </c>
    </row>
    <row r="44" spans="2:10" ht="19.5" customHeight="1">
      <c r="B44" s="43">
        <v>10</v>
      </c>
      <c r="C44" s="44">
        <f>Indices!C14</f>
        <v>469</v>
      </c>
      <c r="D44" s="46">
        <f>ROUNDDOWN($E$7*C44/12/2,2)+ROUNDDOWN($E$7*C44/12/2,2)*0.01-ROUNDDOWN($E$7*C44/12/2,2)*Intro!$F$7-(ROUNDDOWN($E$7*C44/12/2,2)+ROUNDDOWN($E$7*C44/12/2,2)*0.01)*Intro!$F$17*Intro!$F$19-(ROUNDDOWN($E$7*C44/12/2,2)+ROUNDDOWN($E$7*C44/12/2,2)*0.01)*Intro!$F$17*Intro!$F$21-ROUND((($E$7*C44/12/2)*0.01)*0.05,2)</f>
        <v>918.8220612</v>
      </c>
      <c r="E44" s="44">
        <f t="shared" si="2"/>
        <v>469</v>
      </c>
      <c r="F44" s="46">
        <f>ROUNDDOWN($E$7*E44/12/2,2)+ROUNDDOWN($E$7*E44/12/2,2)*0.01-ROUNDDOWN($E$7*E44/12/2,2)*Intro!$F$7-(ROUNDDOWN($E$7*E44/12/2,2)+ROUNDDOWN($E$7*E44/12/2,2)*0.01+ROUNDDOWN($F$47,2))*Intro!$F$17*Intro!$F$19-(ROUNDDOWN($E$7*E44/12/2,2)+ROUNDDOWN($E$7*E44/12/2,2)*0.01+ROUNDDOWN($F$47,2))*Intro!$F$17*Intro!$F$21-ROUND((($E$7*E44/12/2)*0.01+$F$47)*0.05,2)</f>
        <v>894.0279812</v>
      </c>
      <c r="G44" s="46">
        <f t="shared" si="0"/>
        <v>1086.8279812</v>
      </c>
      <c r="H44" s="44">
        <f t="shared" si="3"/>
        <v>469</v>
      </c>
      <c r="I44" s="46">
        <f>ROUNDDOWN($E$7*H44/12/2,2)+ROUNDDOWN($E$7*H44/12/2,2)*0.01-ROUNDDOWN($E$7*H44/12/2,2)*Intro!$F$7-(ROUNDDOWN($E$7*H44/12/2,2)+ROUNDDOWN($E$7*H44/12/2,2)*0.01+ROUNDDOWN($I$47,2))*Intro!$F$17*Intro!$F$19-(ROUNDDOWN($E$7*H44/12/2,2)+ROUNDDOWN($E$7*H44/12/2,2)*0.01+ROUNDDOWN($I$47,2))*Intro!$F$17*Intro!$F$21-ROUND((($E$7*H44/12/2)*0.01+$I$47)*0.05,2)</f>
        <v>887.8294612</v>
      </c>
      <c r="J44" s="46">
        <f t="shared" si="1"/>
        <v>1128.8294612</v>
      </c>
    </row>
    <row r="45" spans="2:10" ht="19.5" customHeight="1" thickBot="1">
      <c r="B45" s="48">
        <v>11</v>
      </c>
      <c r="C45" s="49">
        <f>Indices!C15</f>
        <v>515</v>
      </c>
      <c r="D45" s="51">
        <f>ROUNDDOWN($E$7*C45/12/2,2)+ROUNDDOWN($E$7*C45/12/2,2)*0.01-ROUNDDOWN($E$7*C45/12/2,2)*Intro!$F$7-(ROUNDDOWN($E$7*C45/12/2,2)+ROUNDDOWN($E$7*C45/12/2,2)*0.01)*Intro!$F$17*Intro!$F$19-(ROUNDDOWN($E$7*C45/12/2,2)+ROUNDDOWN($E$7*C45/12/2,2)*0.01)*Intro!$F$17*Intro!$F$21-ROUND((($E$7*C45/12/2)*0.01)*0.05,2)</f>
        <v>1008.9371022</v>
      </c>
      <c r="E45" s="49">
        <f t="shared" si="2"/>
        <v>515</v>
      </c>
      <c r="F45" s="51">
        <f>ROUNDDOWN($E$7*E45/12/2,2)+ROUNDDOWN($E$7*E45/12/2,2)*0.01-ROUNDDOWN($E$7*E45/12/2,2)*Intro!$F$7-(ROUNDDOWN($E$7*E45/12/2,2)+ROUNDDOWN($E$7*E45/12/2,2)*0.01+ROUNDDOWN($F$47,2))*Intro!$F$17*Intro!$F$19-(ROUNDDOWN($E$7*E45/12/2,2)+ROUNDDOWN($E$7*E45/12/2,2)*0.01+ROUNDDOWN($F$47,2))*Intro!$F$17*Intro!$F$21-ROUND((($E$7*E45/12/2)*0.01+$F$47)*0.05,2)</f>
        <v>984.1430222</v>
      </c>
      <c r="G45" s="51">
        <f t="shared" si="0"/>
        <v>1176.9430222</v>
      </c>
      <c r="H45" s="49">
        <f t="shared" si="3"/>
        <v>515</v>
      </c>
      <c r="I45" s="51">
        <f>ROUNDDOWN($E$7*H45/12/2,2)+ROUNDDOWN($E$7*H45/12/2,2)*0.01-ROUNDDOWN($E$7*H45/12/2,2)*Intro!$F$7-(ROUNDDOWN($E$7*H45/12/2,2)+ROUNDDOWN($E$7*H45/12/2,2)*0.01+ROUNDDOWN($I$47,2))*Intro!$F$17*Intro!$F$19-(ROUNDDOWN($E$7*H45/12/2,2)+ROUNDDOWN($E$7*H45/12/2,2)*0.01+ROUNDDOWN($I$47,2))*Intro!$F$17*Intro!$F$21-ROUND((($E$7*H45/12/2)*0.01+$I$47)*0.05,2)</f>
        <v>977.9445022</v>
      </c>
      <c r="J45" s="51">
        <f t="shared" si="1"/>
        <v>1218.9445022</v>
      </c>
    </row>
    <row r="46" spans="3:11" ht="15.75" thickBot="1" thickTop="1">
      <c r="C46" s="53"/>
      <c r="D46" s="53"/>
      <c r="E46" s="53"/>
      <c r="F46" s="196" t="s">
        <v>10</v>
      </c>
      <c r="G46" s="196"/>
      <c r="H46" s="196"/>
      <c r="I46" s="196"/>
      <c r="J46" s="196"/>
      <c r="K46" s="87"/>
    </row>
    <row r="47" spans="2:12" ht="16.5" thickBot="1" thickTop="1">
      <c r="B47" s="56"/>
      <c r="C47" s="90" t="s">
        <v>9</v>
      </c>
      <c r="D47" s="92">
        <f>Intro!H4</f>
        <v>39082</v>
      </c>
      <c r="E47" s="56"/>
      <c r="F47" s="189">
        <f>Intro!C4</f>
        <v>192.8</v>
      </c>
      <c r="G47" s="190"/>
      <c r="H47" s="91"/>
      <c r="I47" s="189">
        <f>Intro!F4</f>
        <v>241</v>
      </c>
      <c r="J47" s="190"/>
      <c r="K47" s="56"/>
      <c r="L47" s="56"/>
    </row>
    <row r="48" ht="15" thickTop="1"/>
    <row r="49" ht="14.25">
      <c r="A49" s="56"/>
    </row>
  </sheetData>
  <sheetProtection sheet="1"/>
  <mergeCells count="33">
    <mergeCell ref="E17:G18"/>
    <mergeCell ref="D33:D34"/>
    <mergeCell ref="F33:G33"/>
    <mergeCell ref="C15:F16"/>
    <mergeCell ref="G19:G20"/>
    <mergeCell ref="H21:K22"/>
    <mergeCell ref="H25:K26"/>
    <mergeCell ref="I47:J47"/>
    <mergeCell ref="F46:J46"/>
    <mergeCell ref="B13:B14"/>
    <mergeCell ref="E19:E20"/>
    <mergeCell ref="C13:C14"/>
    <mergeCell ref="C12:D12"/>
    <mergeCell ref="D13:D14"/>
    <mergeCell ref="F19:F20"/>
    <mergeCell ref="F47:G47"/>
    <mergeCell ref="B2:C2"/>
    <mergeCell ref="E7:F7"/>
    <mergeCell ref="E8:F8"/>
    <mergeCell ref="E9:F9"/>
    <mergeCell ref="B4:H5"/>
    <mergeCell ref="E33:E34"/>
    <mergeCell ref="B33:B34"/>
    <mergeCell ref="C33:C34"/>
    <mergeCell ref="H32:J32"/>
    <mergeCell ref="I4:J4"/>
    <mergeCell ref="I5:J5"/>
    <mergeCell ref="G7:J9"/>
    <mergeCell ref="H33:H34"/>
    <mergeCell ref="I33:J33"/>
    <mergeCell ref="C31:J31"/>
    <mergeCell ref="C32:D32"/>
    <mergeCell ref="E32:G32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showRowColHeaders="0" zoomScaleSheetLayoutView="100" zoomScalePageLayoutView="0" workbookViewId="0" topLeftCell="A22">
      <selection activeCell="N26" sqref="N26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173" t="s">
        <v>33</v>
      </c>
      <c r="C2" s="173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177" t="s">
        <v>49</v>
      </c>
      <c r="C4" s="178"/>
      <c r="D4" s="178"/>
      <c r="E4" s="178"/>
      <c r="F4" s="178"/>
      <c r="G4" s="178"/>
      <c r="H4" s="178"/>
      <c r="I4" s="159" t="s">
        <v>59</v>
      </c>
      <c r="J4" s="160"/>
    </row>
    <row r="5" spans="2:10" s="24" customFormat="1" ht="36" customHeight="1" thickBot="1">
      <c r="B5" s="179"/>
      <c r="C5" s="180"/>
      <c r="D5" s="180"/>
      <c r="E5" s="180"/>
      <c r="F5" s="180"/>
      <c r="G5" s="180"/>
      <c r="H5" s="180"/>
      <c r="I5" s="161">
        <f>Intro!H2</f>
        <v>39478</v>
      </c>
      <c r="J5" s="162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174">
        <f>Intro!F2</f>
        <v>55.5635</v>
      </c>
      <c r="F7" s="175"/>
      <c r="G7" s="181" t="s">
        <v>32</v>
      </c>
      <c r="H7" s="181"/>
      <c r="I7" s="181"/>
      <c r="J7" s="181"/>
      <c r="K7" s="75"/>
    </row>
    <row r="8" spans="2:10" s="28" customFormat="1" ht="18" customHeight="1">
      <c r="B8" s="27"/>
      <c r="D8" s="29" t="s">
        <v>2</v>
      </c>
      <c r="E8" s="176">
        <f>ROUNDDOWN(E7/12,2)</f>
        <v>4.63</v>
      </c>
      <c r="F8" s="176"/>
      <c r="G8" s="181"/>
      <c r="H8" s="181"/>
      <c r="I8" s="181"/>
      <c r="J8" s="181"/>
    </row>
    <row r="9" spans="2:11" s="28" customFormat="1" ht="18" customHeight="1">
      <c r="B9" s="27"/>
      <c r="D9" s="29" t="s">
        <v>3</v>
      </c>
      <c r="E9" s="176">
        <f>ROUNDDOWN($E$7/12,2)-ROUNDDOWN($E$7/12,2)*Intro!$F$7-ROUNDDOWN($E$7/12,2)*Intro!$F$17*Intro!$F$19-ROUNDDOWN($E$7/12,2)*Intro!$F$17*Intro!$F$21-(ROUNDDOWN($E$7/12,2)-ROUNDDOWN($E$7/12,2)*Intro!$F$7)*0.01</f>
        <v>3.83520957</v>
      </c>
      <c r="F9" s="176"/>
      <c r="G9" s="181"/>
      <c r="H9" s="181"/>
      <c r="I9" s="181"/>
      <c r="J9" s="181"/>
      <c r="K9" s="75"/>
    </row>
    <row r="10" spans="1:11" s="28" customFormat="1" ht="18" customHeight="1" thickBot="1">
      <c r="A10" s="56"/>
      <c r="B10" s="56"/>
      <c r="C10" s="57"/>
      <c r="D10" s="57"/>
      <c r="E10" s="58"/>
      <c r="F10" s="59"/>
      <c r="G10" s="59"/>
      <c r="H10" s="60"/>
      <c r="I10" s="61"/>
      <c r="J10" s="61"/>
      <c r="K10" s="61"/>
    </row>
    <row r="11" spans="1:12" s="28" customFormat="1" ht="22.5" customHeight="1" thickBot="1" thickTop="1">
      <c r="A11" s="22"/>
      <c r="B11" s="22"/>
      <c r="C11" s="156" t="s">
        <v>17</v>
      </c>
      <c r="D11" s="158"/>
      <c r="E11" s="56"/>
      <c r="F11" s="22"/>
      <c r="G11" s="22"/>
      <c r="H11" s="56"/>
      <c r="I11" s="22"/>
      <c r="J11" s="22"/>
      <c r="K11" s="78"/>
      <c r="L11" s="56"/>
    </row>
    <row r="12" spans="1:12" s="33" customFormat="1" ht="19.5" customHeight="1" thickTop="1">
      <c r="A12" s="28"/>
      <c r="B12" s="154" t="s">
        <v>13</v>
      </c>
      <c r="C12" s="167" t="s">
        <v>14</v>
      </c>
      <c r="D12" s="171" t="s">
        <v>15</v>
      </c>
      <c r="E12" s="28"/>
      <c r="F12" s="28"/>
      <c r="G12" s="28"/>
      <c r="H12" s="28"/>
      <c r="I12" s="28"/>
      <c r="J12" s="79"/>
      <c r="K12" s="79"/>
      <c r="L12" s="78"/>
    </row>
    <row r="13" spans="1:12" s="33" customFormat="1" ht="19.5" customHeight="1" thickBot="1">
      <c r="A13" s="63"/>
      <c r="B13" s="155"/>
      <c r="C13" s="168"/>
      <c r="D13" s="172" t="s">
        <v>18</v>
      </c>
      <c r="E13" s="63"/>
      <c r="F13" s="63"/>
      <c r="G13" s="63"/>
      <c r="H13" s="63"/>
      <c r="I13" s="63"/>
      <c r="J13" s="63"/>
      <c r="K13" s="63"/>
      <c r="L13" s="79"/>
    </row>
    <row r="14" spans="1:12" s="34" customFormat="1" ht="19.5" customHeight="1" thickTop="1">
      <c r="A14" s="63"/>
      <c r="B14" s="37">
        <v>1</v>
      </c>
      <c r="C14" s="191" t="s">
        <v>51</v>
      </c>
      <c r="D14" s="191"/>
      <c r="E14" s="191"/>
      <c r="F14" s="192"/>
      <c r="G14" s="63"/>
      <c r="H14" s="63"/>
      <c r="I14" s="63"/>
      <c r="J14" s="79"/>
      <c r="K14" s="79"/>
      <c r="L14" s="63"/>
    </row>
    <row r="15" spans="1:12" s="34" customFormat="1" ht="15.75" thickBot="1">
      <c r="A15" s="63"/>
      <c r="B15" s="43">
        <v>2</v>
      </c>
      <c r="C15" s="193"/>
      <c r="D15" s="193"/>
      <c r="E15" s="194"/>
      <c r="F15" s="195"/>
      <c r="G15" s="63"/>
      <c r="H15" s="63"/>
      <c r="I15" s="63"/>
      <c r="J15" s="63"/>
      <c r="K15" s="63"/>
      <c r="L15" s="79"/>
    </row>
    <row r="16" spans="1:12" ht="19.5" customHeight="1" thickTop="1">
      <c r="A16" s="28"/>
      <c r="B16" s="43">
        <v>3</v>
      </c>
      <c r="C16" s="44">
        <f>Indices!F7</f>
        <v>432</v>
      </c>
      <c r="D16" s="65">
        <f>ROUNDDOWN($E$7*C16/12/2,2)-ROUNDDOWN($E$7*C16/12/2,2)*Intro!$F$7-ROUNDDOWN($E$7*C16/12/2,2)*Intro!$F$17*Intro!$F$19-ROUNDDOWN($E$7*C16/12/2,2)*Intro!$F$17*Intro!$F$21</f>
        <v>837.61725</v>
      </c>
      <c r="E16" s="185" t="s">
        <v>29</v>
      </c>
      <c r="F16" s="185"/>
      <c r="G16" s="186"/>
      <c r="H16" s="63"/>
      <c r="I16" s="63"/>
      <c r="J16" s="63"/>
      <c r="K16" s="79"/>
      <c r="L16" s="63"/>
    </row>
    <row r="17" spans="2:12" ht="19.5" customHeight="1" thickBot="1">
      <c r="B17" s="43">
        <v>4</v>
      </c>
      <c r="C17" s="44">
        <f>Indices!F8</f>
        <v>445</v>
      </c>
      <c r="D17" s="65">
        <f>ROUNDDOWN($E$7*C17/12/2,2)-ROUNDDOWN($E$7*C17/12/2,2)*Intro!$F$7-ROUNDDOWN($E$7*C17/12/2,2)*Intro!$F$17*Intro!$F$19-ROUNDDOWN($E$7*C17/12/2,2)*Intro!$F$17*Intro!$F$21</f>
        <v>862.817625</v>
      </c>
      <c r="E17" s="187"/>
      <c r="F17" s="187"/>
      <c r="G17" s="188"/>
      <c r="H17" s="63"/>
      <c r="I17" s="63"/>
      <c r="J17" s="63"/>
      <c r="L17" s="28"/>
    </row>
    <row r="18" spans="2:11" ht="19.5" customHeight="1" thickTop="1">
      <c r="B18" s="43">
        <v>5</v>
      </c>
      <c r="C18" s="44">
        <f>Indices!F9</f>
        <v>458</v>
      </c>
      <c r="D18" s="65">
        <f>ROUNDDOWN($E$7*C18/12/2,2)-ROUNDDOWN($E$7*C18/12/2,2)*Intro!$F$7-ROUNDDOWN($E$7*C18/12/2,2)*Intro!$F$17*Intro!$F$19-ROUNDDOWN($E$7*C18/12/2,2)*Intro!$F$17*Intro!$F$21</f>
        <v>888.026375</v>
      </c>
      <c r="E18" s="165" t="s">
        <v>13</v>
      </c>
      <c r="F18" s="169" t="s">
        <v>14</v>
      </c>
      <c r="G18" s="171" t="s">
        <v>15</v>
      </c>
      <c r="H18" s="66" t="s">
        <v>16</v>
      </c>
      <c r="I18" s="84"/>
      <c r="J18" s="84"/>
      <c r="K18" s="84"/>
    </row>
    <row r="19" spans="2:11" ht="19.5" customHeight="1" thickBot="1">
      <c r="B19" s="43">
        <v>6</v>
      </c>
      <c r="C19" s="44">
        <f>Indices!F10</f>
        <v>467</v>
      </c>
      <c r="D19" s="65">
        <f>ROUNDDOWN($E$7*C19/12/2,2)-ROUNDDOWN($E$7*C19/12/2,2)*Intro!$F$7-ROUNDDOWN($E$7*C19/12/2,2)*Intro!$F$17*Intro!$F$19-ROUNDDOWN($E$7*C19/12/2,2)*Intro!$F$17*Intro!$F$21</f>
        <v>905.4798750000001</v>
      </c>
      <c r="E19" s="166"/>
      <c r="F19" s="170"/>
      <c r="G19" s="172" t="s">
        <v>18</v>
      </c>
      <c r="H19" s="85" t="str">
        <f>"Retraite "&amp;Intro!F7*100&amp;" % du traitement brut"</f>
        <v>Retraite 8,39 % du traitement brut</v>
      </c>
      <c r="I19" s="71"/>
      <c r="J19" s="71"/>
      <c r="K19" s="71"/>
    </row>
    <row r="20" spans="2:11" ht="19.5" customHeight="1" thickTop="1">
      <c r="B20" s="43">
        <v>7</v>
      </c>
      <c r="C20" s="44">
        <f>Indices!F11</f>
        <v>495</v>
      </c>
      <c r="D20" s="65">
        <f>ROUNDDOWN($E$7*C20/12/2,2)-ROUNDDOWN($E$7*C20/12/2,2)*Intro!$F$7-ROUNDDOWN($E$7*C20/12/2,2)*Intro!$F$17*Intro!$F$19-ROUNDDOWN($E$7*C20/12/2,2)*Intro!$F$17*Intro!$F$21</f>
        <v>959.7666250000001</v>
      </c>
      <c r="E20" s="67">
        <v>1</v>
      </c>
      <c r="F20" s="68">
        <f>Indices!I5</f>
        <v>495</v>
      </c>
      <c r="G20" s="64">
        <f>ROUNDDOWN($E$7*F20/12/2,2)-ROUNDDOWN($E$7*F20/12/2,2)*Intro!$F$7-ROUNDDOWN($E$7*F20/12/2,2)*Intro!$F$17*Intro!$F$19-ROUNDDOWN($E$7*F20/12/2,2)*Intro!$F$17*Intro!$F$21</f>
        <v>959.7666250000001</v>
      </c>
      <c r="H20" s="163" t="s">
        <v>44</v>
      </c>
      <c r="I20" s="164"/>
      <c r="J20" s="164"/>
      <c r="K20" s="164"/>
    </row>
    <row r="21" spans="2:11" ht="19.5" customHeight="1">
      <c r="B21" s="43">
        <v>8</v>
      </c>
      <c r="C21" s="44">
        <f>Indices!F12</f>
        <v>531</v>
      </c>
      <c r="D21" s="65">
        <f>ROUNDDOWN($E$7*C21/12/2,2)-ROUNDDOWN($E$7*C21/12/2,2)*Intro!$F$7-ROUNDDOWN($E$7*C21/12/2,2)*Intro!$F$17*Intro!$F$19-ROUNDDOWN($E$7*C21/12/2,2)*Intro!$F$17*Intro!$F$21</f>
        <v>1029.57225</v>
      </c>
      <c r="E21" s="69">
        <v>2</v>
      </c>
      <c r="F21" s="70">
        <f>Indices!I6</f>
        <v>560</v>
      </c>
      <c r="G21" s="65">
        <f>ROUNDDOWN($E$7*F21/12/2,2)-ROUNDDOWN($E$7*F21/12/2,2)*Intro!$F$7-ROUNDDOWN($E$7*F21/12/2,2)*Intro!$F$17*Intro!$F$19-ROUNDDOWN($E$7*F21/12/2,2)*Intro!$F$17*Intro!$F$21</f>
        <v>1085.802</v>
      </c>
      <c r="H21" s="163"/>
      <c r="I21" s="164"/>
      <c r="J21" s="164"/>
      <c r="K21" s="164"/>
    </row>
    <row r="22" spans="2:11" ht="19.5" customHeight="1">
      <c r="B22" s="43">
        <v>9</v>
      </c>
      <c r="C22" s="44">
        <f>Indices!F13</f>
        <v>567</v>
      </c>
      <c r="D22" s="65">
        <f>ROUNDDOWN($E$7*C22/12/2,2)-ROUNDDOWN($E$7*C22/12/2,2)*Intro!$F$7-ROUNDDOWN($E$7*C22/12/2,2)*Intro!$F$17*Intro!$F$19-ROUNDDOWN($E$7*C22/12/2,2)*Intro!$F$17*Intro!$F$21</f>
        <v>1099.3695</v>
      </c>
      <c r="E22" s="69">
        <v>3</v>
      </c>
      <c r="F22" s="70">
        <f>Indices!I7</f>
        <v>601</v>
      </c>
      <c r="G22" s="65">
        <f>ROUNDDOWN($E$7*F22/12/2,2)-ROUNDDOWN($E$7*F22/12/2,2)*Intro!$F$7-ROUNDDOWN($E$7*F22/12/2,2)*Intro!$F$17*Intro!$F$19-ROUNDDOWN($E$7*F22/12/2,2)*Intro!$F$17*Intro!$F$21</f>
        <v>1165.2975000000001</v>
      </c>
      <c r="H22" s="85" t="str">
        <f>"CRDS "&amp;Intro!F21*100&amp;"% (sur "&amp;Intro!F17*100&amp;"% de tous les revenus, dont IRL)"</f>
        <v>CRDS 0,5% (sur 98,25% de tous les revenus, dont IRL)</v>
      </c>
      <c r="I22" s="86"/>
      <c r="J22" s="86"/>
      <c r="K22" s="71"/>
    </row>
    <row r="23" spans="2:11" ht="19.5" customHeight="1">
      <c r="B23" s="43">
        <v>10</v>
      </c>
      <c r="C23" s="44">
        <f>Indices!F14</f>
        <v>612</v>
      </c>
      <c r="D23" s="65">
        <f>ROUNDDOWN($E$7*C23/12/2,2)-ROUNDDOWN($E$7*C23/12/2,2)*Intro!$F$7-ROUNDDOWN($E$7*C23/12/2,2)*Intro!$F$17*Intro!$F$19-ROUNDDOWN($E$7*C23/12/2,2)*Intro!$F$17*Intro!$F$21</f>
        <v>1186.62025</v>
      </c>
      <c r="E23" s="69">
        <v>4</v>
      </c>
      <c r="F23" s="70">
        <f>Indices!I8</f>
        <v>642</v>
      </c>
      <c r="G23" s="65">
        <f>ROUNDDOWN($E$7*F23/12/2,2)-ROUNDDOWN($E$7*F23/12/2,2)*Intro!$F$7-ROUNDDOWN($E$7*F23/12/2,2)*Intro!$F$17*Intro!$F$19-ROUNDDOWN($E$7*F23/12/2,2)*Intro!$F$17*Intro!$F$21</f>
        <v>1244.793</v>
      </c>
      <c r="H23" s="85" t="str">
        <f>"CSG "&amp;Intro!F19*100&amp;"% (sur "&amp;Intro!F17*100&amp;"% de tous les revenus, dont IRL)"</f>
        <v>CSG 7,5% (sur 98,25% de tous les revenus, dont IRL)</v>
      </c>
      <c r="I23" s="71"/>
      <c r="J23" s="71"/>
      <c r="K23" s="71"/>
    </row>
    <row r="24" spans="2:11" ht="19.5" customHeight="1" thickBot="1">
      <c r="B24" s="48">
        <v>11</v>
      </c>
      <c r="C24" s="49">
        <f>Indices!F15</f>
        <v>658</v>
      </c>
      <c r="D24" s="72">
        <f>ROUNDDOWN($E$7*C24/12/2,2)-ROUNDDOWN($E$7*C24/12/2,2)*Intro!$F$7-ROUNDDOWN($E$7*C24/12/2,2)*Intro!$F$17*Intro!$F$19-ROUNDDOWN($E$7*C24/12/2,2)*Intro!$F$17*Intro!$F$21</f>
        <v>1275.8139999999999</v>
      </c>
      <c r="E24" s="69">
        <v>5</v>
      </c>
      <c r="F24" s="70">
        <f>Indices!I9</f>
        <v>695</v>
      </c>
      <c r="G24" s="93">
        <f>ROUNDDOWN($E$7*F24/12/2,2)-ROUNDDOWN($E$7*F24/12/2,2)*Intro!$F$7-ROUNDDOWN($E$7*F24/12/2,2)*Intro!$F$17*Intro!$F$19-ROUNDDOWN($E$7*F24/12/2,2)*Intro!$F$17*Intro!$F$21-(ROUNDDOWN($E$7*F24/12/2,2)-ROUNDDOWN($E$7*F24/12/2,2)*Intro!$F$7)*0.01</f>
        <v>1332.81401778</v>
      </c>
      <c r="H24" s="163" t="s">
        <v>41</v>
      </c>
      <c r="I24" s="164"/>
      <c r="J24" s="164"/>
      <c r="K24" s="164"/>
    </row>
    <row r="25" spans="5:11" ht="19.5" customHeight="1" thickTop="1">
      <c r="E25" s="43">
        <v>6</v>
      </c>
      <c r="F25" s="70">
        <f>Indices!I10</f>
        <v>741</v>
      </c>
      <c r="G25" s="93">
        <f>ROUNDDOWN($E$7*F25/12/2,2)-ROUNDDOWN($E$7*F25/12/2,2)*Intro!$F$7-ROUNDDOWN($E$7*F25/12/2,2)*Intro!$F$17*Intro!$F$19-ROUNDDOWN($E$7*F25/12/2,2)*Intro!$F$17*Intro!$F$21-(ROUNDDOWN($E$7*F25/12/2,2)-ROUNDDOWN($E$7*F25/12/2,2)*Intro!$F$7)*0.01</f>
        <v>1421.03212128</v>
      </c>
      <c r="H25" s="163"/>
      <c r="I25" s="164"/>
      <c r="J25" s="164"/>
      <c r="K25" s="164"/>
    </row>
    <row r="26" spans="3:9" ht="19.5" customHeight="1" thickBot="1">
      <c r="C26" s="28"/>
      <c r="D26" s="28"/>
      <c r="E26" s="48">
        <v>7</v>
      </c>
      <c r="F26" s="73">
        <f>Indices!I11</f>
        <v>783</v>
      </c>
      <c r="G26" s="94">
        <f>ROUNDDOWN($E$7*F26/12/2,2)-ROUNDDOWN($E$7*F26/12/2,2)*Intro!$F$7-ROUNDDOWN($E$7*F26/12/2,2)*Intro!$F$17*Intro!$F$19-ROUNDDOWN($E$7*F26/12/2,2)*Intro!$F$17*Intro!$F$21-(ROUNDDOWN($E$7*F26/12/2,2)-ROUNDDOWN($E$7*F26/12/2,2)*Intro!$F$7)*0.01</f>
        <v>1501.5715222499998</v>
      </c>
      <c r="I26" s="88"/>
    </row>
    <row r="27" spans="3:9" ht="19.5" customHeight="1" thickTop="1">
      <c r="C27" s="63"/>
      <c r="D27" s="63"/>
      <c r="I27" s="89"/>
    </row>
    <row r="28" spans="1:12" s="56" customFormat="1" ht="14.25">
      <c r="A28" s="22"/>
      <c r="B28" s="95" t="s">
        <v>31</v>
      </c>
      <c r="C28" s="63"/>
      <c r="D28" s="63"/>
      <c r="E28" s="63"/>
      <c r="F28" s="22"/>
      <c r="G28" s="22"/>
      <c r="H28" s="22"/>
      <c r="I28" s="22"/>
      <c r="J28" s="22"/>
      <c r="K28" s="22"/>
      <c r="L28" s="22"/>
    </row>
    <row r="29" spans="1:12" s="56" customFormat="1" ht="39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77" t="s">
        <v>37</v>
      </c>
      <c r="K29" s="28"/>
      <c r="L29" s="22"/>
    </row>
    <row r="30" spans="1:12" ht="19.5" customHeight="1" thickBot="1" thickTop="1">
      <c r="A30" s="33"/>
      <c r="B30" s="32"/>
      <c r="C30" s="156" t="s">
        <v>12</v>
      </c>
      <c r="D30" s="157"/>
      <c r="E30" s="157"/>
      <c r="F30" s="157"/>
      <c r="G30" s="157"/>
      <c r="H30" s="157"/>
      <c r="I30" s="157"/>
      <c r="J30" s="158"/>
      <c r="K30" s="33"/>
      <c r="L30" s="28"/>
    </row>
    <row r="31" spans="1:12" s="28" customFormat="1" ht="19.5" customHeight="1" thickBot="1" thickTop="1">
      <c r="A31" s="33"/>
      <c r="B31" s="32"/>
      <c r="C31" s="182" t="s">
        <v>26</v>
      </c>
      <c r="D31" s="183"/>
      <c r="E31" s="182" t="s">
        <v>0</v>
      </c>
      <c r="F31" s="183"/>
      <c r="G31" s="183"/>
      <c r="H31" s="182" t="s">
        <v>1</v>
      </c>
      <c r="I31" s="183"/>
      <c r="J31" s="184"/>
      <c r="K31" s="33"/>
      <c r="L31" s="33"/>
    </row>
    <row r="32" spans="1:12" s="63" customFormat="1" ht="19.5" customHeight="1" thickTop="1">
      <c r="A32" s="34"/>
      <c r="B32" s="154" t="s">
        <v>13</v>
      </c>
      <c r="C32" s="167" t="s">
        <v>14</v>
      </c>
      <c r="D32" s="171" t="s">
        <v>15</v>
      </c>
      <c r="E32" s="167" t="s">
        <v>14</v>
      </c>
      <c r="F32" s="197" t="s">
        <v>15</v>
      </c>
      <c r="G32" s="165"/>
      <c r="H32" s="167" t="s">
        <v>14</v>
      </c>
      <c r="I32" s="197" t="s">
        <v>15</v>
      </c>
      <c r="J32" s="165"/>
      <c r="K32" s="34"/>
      <c r="L32" s="33"/>
    </row>
    <row r="33" spans="1:12" s="63" customFormat="1" ht="19.5" customHeight="1" thickBot="1">
      <c r="A33" s="34"/>
      <c r="B33" s="155"/>
      <c r="C33" s="168"/>
      <c r="D33" s="172" t="s">
        <v>18</v>
      </c>
      <c r="E33" s="198"/>
      <c r="F33" s="35" t="s">
        <v>27</v>
      </c>
      <c r="G33" s="35" t="s">
        <v>28</v>
      </c>
      <c r="H33" s="198"/>
      <c r="I33" s="35" t="s">
        <v>27</v>
      </c>
      <c r="J33" s="35" t="s">
        <v>28</v>
      </c>
      <c r="K33" s="34"/>
      <c r="L33" s="34"/>
    </row>
    <row r="34" spans="1:12" s="63" customFormat="1" ht="19.5" customHeight="1" thickTop="1">
      <c r="A34" s="22"/>
      <c r="B34" s="37">
        <v>1</v>
      </c>
      <c r="C34" s="38">
        <f>Indices!C5</f>
        <v>341</v>
      </c>
      <c r="D34" s="41">
        <f>ROUNDDOWN($E$7*C34/12/2,2)-ROUNDDOWN($E$7*C34/12/2,2)*Intro!$F$7-ROUNDDOWN($E$7*C34/12/2,2)*Intro!$F$17*Intro!$F$19-ROUNDDOWN($E$7*C34/12/2,2)*Intro!$F$17*Intro!$F$21</f>
        <v>661.1727500000001</v>
      </c>
      <c r="E34" s="40">
        <f>C34</f>
        <v>341</v>
      </c>
      <c r="F34" s="41">
        <f>ROUNDDOWN($E$7*E34/12/2,2)-ROUNDDOWN($E$7*E34/12/2,2)*Intro!$F$7-(ROUNDDOWN($E$7*E34/12/2,2)+ROUNDDOWN($F$46,2))*Intro!$F$17*Intro!$F$19-(ROUNDDOWN($E$7*E34/12/2,2)+ROUNDDOWN($F$46,2))*Intro!$F$17*Intro!$F$21-ROUND($F$46*0.05,2)</f>
        <v>636.37867</v>
      </c>
      <c r="G34" s="41">
        <f aca="true" t="shared" si="0" ref="G34:G44">F34+$F$46</f>
        <v>829.17867</v>
      </c>
      <c r="H34" s="40">
        <f>C34</f>
        <v>341</v>
      </c>
      <c r="I34" s="41">
        <f>ROUNDDOWN($E$7*H34/12/2,2)-ROUNDDOWN($E$7*H34/12/2,2)*Intro!$F$7-(ROUNDDOWN($E$7*H34/12/2,2)+ROUNDDOWN($J$46,2))*Intro!$F$17*Intro!$F$19-(ROUNDDOWN($E$7*H34/12/2,2)+ROUNDDOWN($J$46,2))*Intro!$F$17*Intro!$F$21-ROUND($J$46*0.05,2)</f>
        <v>661.1727500000001</v>
      </c>
      <c r="J34" s="41">
        <f aca="true" t="shared" si="1" ref="J34:J44">I34+$J$46</f>
        <v>661.1727500000001</v>
      </c>
      <c r="K34" s="22"/>
      <c r="L34" s="34"/>
    </row>
    <row r="35" spans="1:12" s="28" customFormat="1" ht="19.5" customHeight="1">
      <c r="A35" s="22"/>
      <c r="B35" s="43">
        <v>2</v>
      </c>
      <c r="C35" s="44">
        <f>Indices!C6</f>
        <v>357</v>
      </c>
      <c r="D35" s="46">
        <f>ROUNDDOWN($E$7*C35/12/2,2)-ROUNDDOWN($E$7*C35/12/2,2)*Intro!$F$7-ROUNDDOWN($E$7*C35/12/2,2)*Intro!$F$17*Intro!$F$19-ROUNDDOWN($E$7*C35/12/2,2)*Intro!$F$17*Intro!$F$21</f>
        <v>692.19375</v>
      </c>
      <c r="E35" s="44">
        <f aca="true" t="shared" si="2" ref="E35:E44">C35</f>
        <v>357</v>
      </c>
      <c r="F35" s="46">
        <f>ROUNDDOWN($E$7*E35/12/2,2)-ROUNDDOWN($E$7*E35/12/2,2)*Intro!$F$7-(ROUNDDOWN($E$7*E35/12/2,2)+ROUNDDOWN($F$46,2))*Intro!$F$17*Intro!$F$19-(ROUNDDOWN($E$7*E35/12/2,2)+ROUNDDOWN($F$46,2))*Intro!$F$17*Intro!$F$21-ROUND($F$46*0.05,2)</f>
        <v>667.39967</v>
      </c>
      <c r="G35" s="46">
        <f t="shared" si="0"/>
        <v>860.19967</v>
      </c>
      <c r="H35" s="44">
        <f aca="true" t="shared" si="3" ref="H35:H44">C35</f>
        <v>357</v>
      </c>
      <c r="I35" s="46">
        <f>ROUNDDOWN($E$7*H35/12/2,2)-ROUNDDOWN($E$7*H35/12/2,2)*Intro!$F$7-(ROUNDDOWN($E$7*H35/12/2,2)+ROUNDDOWN($J$46,2))*Intro!$F$17*Intro!$F$19-(ROUNDDOWN($E$7*H35/12/2,2)+ROUNDDOWN($J$46,2))*Intro!$F$17*Intro!$F$21-ROUND($J$46*0.05,2)</f>
        <v>692.19375</v>
      </c>
      <c r="J35" s="46">
        <f t="shared" si="1"/>
        <v>692.19375</v>
      </c>
      <c r="K35" s="22"/>
      <c r="L35" s="22"/>
    </row>
    <row r="36" spans="2:10" ht="19.5" customHeight="1">
      <c r="B36" s="43">
        <v>3</v>
      </c>
      <c r="C36" s="44">
        <f>Indices!C7</f>
        <v>366</v>
      </c>
      <c r="D36" s="46">
        <f>ROUNDDOWN($E$7*C36/12/2,2)-ROUNDDOWN($E$7*C36/12/2,2)*Intro!$F$7-ROUNDDOWN($E$7*C36/12/2,2)*Intro!$F$17*Intro!$F$19-ROUNDDOWN($E$7*C36/12/2,2)*Intro!$F$17*Intro!$F$21</f>
        <v>709.6472500000001</v>
      </c>
      <c r="E36" s="44">
        <f t="shared" si="2"/>
        <v>366</v>
      </c>
      <c r="F36" s="46">
        <f>ROUNDDOWN($E$7*E36/12/2,2)-ROUNDDOWN($E$7*E36/12/2,2)*Intro!$F$7-(ROUNDDOWN($E$7*E36/12/2,2)+ROUNDDOWN($F$46,2))*Intro!$F$17*Intro!$F$19-(ROUNDDOWN($E$7*E36/12/2,2)+ROUNDDOWN($F$46,2))*Intro!$F$17*Intro!$F$21-ROUND($F$46*0.05,2)</f>
        <v>684.8531700000001</v>
      </c>
      <c r="G36" s="46">
        <f t="shared" si="0"/>
        <v>877.65317</v>
      </c>
      <c r="H36" s="44">
        <f t="shared" si="3"/>
        <v>366</v>
      </c>
      <c r="I36" s="46">
        <f>ROUNDDOWN($E$7*H36/12/2,2)-ROUNDDOWN($E$7*H36/12/2,2)*Intro!$F$7-(ROUNDDOWN($E$7*H36/12/2,2)+ROUNDDOWN($J$46,2))*Intro!$F$17*Intro!$F$19-(ROUNDDOWN($E$7*H36/12/2,2)+ROUNDDOWN($J$46,2))*Intro!$F$17*Intro!$F$21-ROUND($J$46*0.05,2)</f>
        <v>709.6472500000001</v>
      </c>
      <c r="J36" s="46">
        <f t="shared" si="1"/>
        <v>709.6472500000001</v>
      </c>
    </row>
    <row r="37" spans="2:10" ht="19.5" customHeight="1">
      <c r="B37" s="43">
        <v>4</v>
      </c>
      <c r="C37" s="44">
        <f>Indices!C8</f>
        <v>373</v>
      </c>
      <c r="D37" s="46">
        <f>ROUNDDOWN($E$7*C37/12/2,2)-ROUNDDOWN($E$7*C37/12/2,2)*Intro!$F$7-ROUNDDOWN($E$7*C37/12/2,2)*Intro!$F$17*Intro!$F$19-ROUNDDOWN($E$7*C37/12/2,2)*Intro!$F$17*Intro!$F$21</f>
        <v>723.21475</v>
      </c>
      <c r="E37" s="44">
        <f t="shared" si="2"/>
        <v>373</v>
      </c>
      <c r="F37" s="46">
        <f>ROUNDDOWN($E$7*E37/12/2,2)-ROUNDDOWN($E$7*E37/12/2,2)*Intro!$F$7-(ROUNDDOWN($E$7*E37/12/2,2)+ROUNDDOWN($F$46,2))*Intro!$F$17*Intro!$F$19-(ROUNDDOWN($E$7*E37/12/2,2)+ROUNDDOWN($F$46,2))*Intro!$F$17*Intro!$F$21-ROUND($F$46*0.05,2)</f>
        <v>698.42067</v>
      </c>
      <c r="G37" s="46">
        <f t="shared" si="0"/>
        <v>891.2206699999999</v>
      </c>
      <c r="H37" s="44">
        <f t="shared" si="3"/>
        <v>373</v>
      </c>
      <c r="I37" s="46">
        <f>ROUNDDOWN($E$7*H37/12/2,2)-ROUNDDOWN($E$7*H37/12/2,2)*Intro!$F$7-(ROUNDDOWN($E$7*H37/12/2,2)+ROUNDDOWN($J$46,2))*Intro!$F$17*Intro!$F$19-(ROUNDDOWN($E$7*H37/12/2,2)+ROUNDDOWN($J$46,2))*Intro!$F$17*Intro!$F$21-ROUND($J$46*0.05,2)</f>
        <v>723.21475</v>
      </c>
      <c r="J37" s="46">
        <f t="shared" si="1"/>
        <v>723.21475</v>
      </c>
    </row>
    <row r="38" spans="2:10" ht="19.5" customHeight="1">
      <c r="B38" s="43">
        <v>5</v>
      </c>
      <c r="C38" s="44">
        <f>Indices!C9</f>
        <v>383</v>
      </c>
      <c r="D38" s="46">
        <f>ROUNDDOWN($E$7*C38/12/2,2)-ROUNDDOWN($E$7*C38/12/2,2)*Intro!$F$7-ROUNDDOWN($E$7*C38/12/2,2)*Intro!$F$17*Intro!$F$19-ROUNDDOWN($E$7*C38/12/2,2)*Intro!$F$17*Intro!$F$21</f>
        <v>742.61125</v>
      </c>
      <c r="E38" s="44">
        <f t="shared" si="2"/>
        <v>383</v>
      </c>
      <c r="F38" s="46">
        <f>ROUNDDOWN($E$7*E38/12/2,2)-ROUNDDOWN($E$7*E38/12/2,2)*Intro!$F$7-(ROUNDDOWN($E$7*E38/12/2,2)+ROUNDDOWN($F$46,2))*Intro!$F$17*Intro!$F$19-(ROUNDDOWN($E$7*E38/12/2,2)+ROUNDDOWN($F$46,2))*Intro!$F$17*Intro!$F$21-ROUND($F$46*0.05,2)</f>
        <v>717.81717</v>
      </c>
      <c r="G38" s="46">
        <f t="shared" si="0"/>
        <v>910.61717</v>
      </c>
      <c r="H38" s="44">
        <f t="shared" si="3"/>
        <v>383</v>
      </c>
      <c r="I38" s="46">
        <f>ROUNDDOWN($E$7*H38/12/2,2)-ROUNDDOWN($E$7*H38/12/2,2)*Intro!$F$7-(ROUNDDOWN($E$7*H38/12/2,2)+ROUNDDOWN($J$46,2))*Intro!$F$17*Intro!$F$19-(ROUNDDOWN($E$7*H38/12/2,2)+ROUNDDOWN($J$46,2))*Intro!$F$17*Intro!$F$21-ROUND($J$46*0.05,2)</f>
        <v>742.61125</v>
      </c>
      <c r="J38" s="46">
        <f t="shared" si="1"/>
        <v>742.61125</v>
      </c>
    </row>
    <row r="39" spans="2:10" ht="19.5" customHeight="1">
      <c r="B39" s="43">
        <v>6</v>
      </c>
      <c r="C39" s="44">
        <f>Indices!C10</f>
        <v>390</v>
      </c>
      <c r="D39" s="46">
        <f>ROUNDDOWN($E$7*C39/12/2,2)-ROUNDDOWN($E$7*C39/12/2,2)*Intro!$F$7-ROUNDDOWN($E$7*C39/12/2,2)*Intro!$F$17*Intro!$F$19-ROUNDDOWN($E$7*C39/12/2,2)*Intro!$F$17*Intro!$F$21</f>
        <v>756.17875</v>
      </c>
      <c r="E39" s="44">
        <f t="shared" si="2"/>
        <v>390</v>
      </c>
      <c r="F39" s="46">
        <f>ROUNDDOWN($E$7*E39/12/2,2)-ROUNDDOWN($E$7*E39/12/2,2)*Intro!$F$7-(ROUNDDOWN($E$7*E39/12/2,2)+ROUNDDOWN($F$46,2))*Intro!$F$17*Intro!$F$19-(ROUNDDOWN($E$7*E39/12/2,2)+ROUNDDOWN($F$46,2))*Intro!$F$17*Intro!$F$21-ROUND($F$46*0.05,2)</f>
        <v>731.38467</v>
      </c>
      <c r="G39" s="46">
        <f t="shared" si="0"/>
        <v>924.1846700000001</v>
      </c>
      <c r="H39" s="44">
        <f t="shared" si="3"/>
        <v>390</v>
      </c>
      <c r="I39" s="46">
        <f>ROUNDDOWN($E$7*H39/12/2,2)-ROUNDDOWN($E$7*H39/12/2,2)*Intro!$F$7-(ROUNDDOWN($E$7*H39/12/2,2)+ROUNDDOWN($J$46,2))*Intro!$F$17*Intro!$F$19-(ROUNDDOWN($E$7*H39/12/2,2)+ROUNDDOWN($J$46,2))*Intro!$F$17*Intro!$F$21-ROUND($J$46*0.05,2)</f>
        <v>756.17875</v>
      </c>
      <c r="J39" s="46">
        <f t="shared" si="1"/>
        <v>756.17875</v>
      </c>
    </row>
    <row r="40" spans="2:10" ht="19.5" customHeight="1">
      <c r="B40" s="43">
        <v>7</v>
      </c>
      <c r="C40" s="44">
        <f>Indices!C11</f>
        <v>399</v>
      </c>
      <c r="D40" s="46">
        <f>ROUNDDOWN($E$7*C40/12/2,2)-ROUNDDOWN($E$7*C40/12/2,2)*Intro!$F$7-ROUNDDOWN($E$7*C40/12/2,2)*Intro!$F$17*Intro!$F$19-ROUNDDOWN($E$7*C40/12/2,2)*Intro!$F$17*Intro!$F$21</f>
        <v>773.63225</v>
      </c>
      <c r="E40" s="44">
        <f t="shared" si="2"/>
        <v>399</v>
      </c>
      <c r="F40" s="46">
        <f>ROUNDDOWN($E$7*E40/12/2,2)-ROUNDDOWN($E$7*E40/12/2,2)*Intro!$F$7-(ROUNDDOWN($E$7*E40/12/2,2)+ROUNDDOWN($F$46,2))*Intro!$F$17*Intro!$F$19-(ROUNDDOWN($E$7*E40/12/2,2)+ROUNDDOWN($F$46,2))*Intro!$F$17*Intro!$F$21-ROUND($F$46*0.05,2)</f>
        <v>748.83817</v>
      </c>
      <c r="G40" s="46">
        <f t="shared" si="0"/>
        <v>941.63817</v>
      </c>
      <c r="H40" s="44">
        <f t="shared" si="3"/>
        <v>399</v>
      </c>
      <c r="I40" s="46">
        <f>ROUNDDOWN($E$7*H40/12/2,2)-ROUNDDOWN($E$7*H40/12/2,2)*Intro!$F$7-(ROUNDDOWN($E$7*H40/12/2,2)+ROUNDDOWN($J$46,2))*Intro!$F$17*Intro!$F$19-(ROUNDDOWN($E$7*H40/12/2,2)+ROUNDDOWN($J$46,2))*Intro!$F$17*Intro!$F$21-ROUND($J$46*0.05,2)</f>
        <v>773.63225</v>
      </c>
      <c r="J40" s="46">
        <f t="shared" si="1"/>
        <v>773.63225</v>
      </c>
    </row>
    <row r="41" spans="2:10" ht="19.5" customHeight="1">
      <c r="B41" s="43">
        <v>8</v>
      </c>
      <c r="C41" s="44">
        <f>Indices!C12</f>
        <v>420</v>
      </c>
      <c r="D41" s="46">
        <f>ROUNDDOWN($E$7*C41/12/2,2)-ROUNDDOWN($E$7*C41/12/2,2)*Intro!$F$7-ROUNDDOWN($E$7*C41/12/2,2)*Intro!$F$17*Intro!$F$19-ROUNDDOWN($E$7*C41/12/2,2)*Intro!$F$17*Intro!$F$21</f>
        <v>814.3515</v>
      </c>
      <c r="E41" s="44">
        <f t="shared" si="2"/>
        <v>420</v>
      </c>
      <c r="F41" s="46">
        <f>ROUNDDOWN($E$7*E41/12/2,2)-ROUNDDOWN($E$7*E41/12/2,2)*Intro!$F$7-(ROUNDDOWN($E$7*E41/12/2,2)+ROUNDDOWN($F$46,2))*Intro!$F$17*Intro!$F$19-(ROUNDDOWN($E$7*E41/12/2,2)+ROUNDDOWN($F$46,2))*Intro!$F$17*Intro!$F$21-ROUND($F$46*0.05,2)</f>
        <v>789.55742</v>
      </c>
      <c r="G41" s="46">
        <f t="shared" si="0"/>
        <v>982.35742</v>
      </c>
      <c r="H41" s="44">
        <f t="shared" si="3"/>
        <v>420</v>
      </c>
      <c r="I41" s="46">
        <f>ROUNDDOWN($E$7*H41/12/2,2)-ROUNDDOWN($E$7*H41/12/2,2)*Intro!$F$7-(ROUNDDOWN($E$7*H41/12/2,2)+ROUNDDOWN($J$46,2))*Intro!$F$17*Intro!$F$19-(ROUNDDOWN($E$7*H41/12/2,2)+ROUNDDOWN($J$46,2))*Intro!$F$17*Intro!$F$21-ROUND($J$46*0.05,2)</f>
        <v>814.3515</v>
      </c>
      <c r="J41" s="46">
        <f t="shared" si="1"/>
        <v>814.3515</v>
      </c>
    </row>
    <row r="42" spans="2:10" ht="19.5" customHeight="1">
      <c r="B42" s="43">
        <v>9</v>
      </c>
      <c r="C42" s="44">
        <f>Indices!C13</f>
        <v>441</v>
      </c>
      <c r="D42" s="46">
        <f>ROUNDDOWN($E$7*C42/12/2,2)-ROUNDDOWN($E$7*C42/12/2,2)*Intro!$F$7-ROUNDDOWN($E$7*C42/12/2,2)*Intro!$F$17*Intro!$F$19-ROUNDDOWN($E$7*C42/12/2,2)*Intro!$F$17*Intro!$F$21</f>
        <v>855.062375</v>
      </c>
      <c r="E42" s="44">
        <f t="shared" si="2"/>
        <v>441</v>
      </c>
      <c r="F42" s="46">
        <f>ROUNDDOWN($E$7*E42/12/2,2)-ROUNDDOWN($E$7*E42/12/2,2)*Intro!$F$7-(ROUNDDOWN($E$7*E42/12/2,2)+ROUNDDOWN($F$46,2))*Intro!$F$17*Intro!$F$19-(ROUNDDOWN($E$7*E42/12/2,2)+ROUNDDOWN($F$46,2))*Intro!$F$17*Intro!$F$21-ROUND($F$46*0.05,2)</f>
        <v>830.268295</v>
      </c>
      <c r="G42" s="46">
        <f t="shared" si="0"/>
        <v>1023.068295</v>
      </c>
      <c r="H42" s="44">
        <f t="shared" si="3"/>
        <v>441</v>
      </c>
      <c r="I42" s="46">
        <f>ROUNDDOWN($E$7*H42/12/2,2)-ROUNDDOWN($E$7*H42/12/2,2)*Intro!$F$7-(ROUNDDOWN($E$7*H42/12/2,2)+ROUNDDOWN($J$46,2))*Intro!$F$17*Intro!$F$19-(ROUNDDOWN($E$7*H42/12/2,2)+ROUNDDOWN($J$46,2))*Intro!$F$17*Intro!$F$21-ROUND($J$46*0.05,2)</f>
        <v>855.062375</v>
      </c>
      <c r="J42" s="46">
        <f t="shared" si="1"/>
        <v>855.062375</v>
      </c>
    </row>
    <row r="43" spans="2:10" ht="19.5" customHeight="1">
      <c r="B43" s="43">
        <v>10</v>
      </c>
      <c r="C43" s="44">
        <f>Indices!C14</f>
        <v>469</v>
      </c>
      <c r="D43" s="46">
        <f>ROUNDDOWN($E$7*C43/12/2,2)-ROUNDDOWN($E$7*C43/12/2,2)*Intro!$F$7-ROUNDDOWN($E$7*C43/12/2,2)*Intro!$F$17*Intro!$F$19-ROUNDDOWN($E$7*C43/12/2,2)*Intro!$F$17*Intro!$F$21</f>
        <v>909.3575</v>
      </c>
      <c r="E43" s="44">
        <f t="shared" si="2"/>
        <v>469</v>
      </c>
      <c r="F43" s="46">
        <f>ROUNDDOWN($E$7*E43/12/2,2)-ROUNDDOWN($E$7*E43/12/2,2)*Intro!$F$7-(ROUNDDOWN($E$7*E43/12/2,2)+ROUNDDOWN($F$46,2))*Intro!$F$17*Intro!$F$19-(ROUNDDOWN($E$7*E43/12/2,2)+ROUNDDOWN($F$46,2))*Intro!$F$17*Intro!$F$21-ROUND($F$46*0.05,2)</f>
        <v>884.56342</v>
      </c>
      <c r="G43" s="46">
        <f t="shared" si="0"/>
        <v>1077.36342</v>
      </c>
      <c r="H43" s="44">
        <f t="shared" si="3"/>
        <v>469</v>
      </c>
      <c r="I43" s="46">
        <f>ROUNDDOWN($E$7*H43/12/2,2)-ROUNDDOWN($E$7*H43/12/2,2)*Intro!$F$7-(ROUNDDOWN($E$7*H43/12/2,2)+ROUNDDOWN($J$46,2))*Intro!$F$17*Intro!$F$19-(ROUNDDOWN($E$7*H43/12/2,2)+ROUNDDOWN($J$46,2))*Intro!$F$17*Intro!$F$21-ROUND($J$46*0.05,2)</f>
        <v>909.3575</v>
      </c>
      <c r="J43" s="46">
        <f t="shared" si="1"/>
        <v>909.3575</v>
      </c>
    </row>
    <row r="44" spans="2:10" ht="19.5" customHeight="1" thickBot="1">
      <c r="B44" s="48">
        <v>11</v>
      </c>
      <c r="C44" s="49">
        <f>Indices!C15</f>
        <v>515</v>
      </c>
      <c r="D44" s="51">
        <f>ROUNDDOWN($E$7*C44/12/2,2)-ROUNDDOWN($E$7*C44/12/2,2)*Intro!$F$7-ROUNDDOWN($E$7*C44/12/2,2)*Intro!$F$17*Intro!$F$19-ROUNDDOWN($E$7*C44/12/2,2)*Intro!$F$17*Intro!$F$21</f>
        <v>998.55125</v>
      </c>
      <c r="E44" s="49">
        <f t="shared" si="2"/>
        <v>515</v>
      </c>
      <c r="F44" s="51">
        <f>ROUNDDOWN($E$7*E44/12/2,2)-ROUNDDOWN($E$7*E44/12/2,2)*Intro!$F$7-(ROUNDDOWN($E$7*E44/12/2,2)+ROUNDDOWN($F$46,2))*Intro!$F$17*Intro!$F$19-(ROUNDDOWN($E$7*E44/12/2,2)+ROUNDDOWN($F$46,2))*Intro!$F$17*Intro!$F$21-ROUND($F$46*0.05,2)</f>
        <v>973.75717</v>
      </c>
      <c r="G44" s="51">
        <f t="shared" si="0"/>
        <v>1166.55717</v>
      </c>
      <c r="H44" s="49">
        <f t="shared" si="3"/>
        <v>515</v>
      </c>
      <c r="I44" s="51">
        <f>ROUNDDOWN($E$7*H44/12/2,2)-ROUNDDOWN($E$7*H44/12/2,2)*Intro!$F$7-(ROUNDDOWN($E$7*H44/12/2,2)+ROUNDDOWN($J$46,2))*Intro!$F$17*Intro!$F$19-(ROUNDDOWN($E$7*H44/12/2,2)+ROUNDDOWN($J$46,2))*Intro!$F$17*Intro!$F$21-ROUND($J$46*0.05,2)</f>
        <v>998.55125</v>
      </c>
      <c r="J44" s="51">
        <f t="shared" si="1"/>
        <v>998.55125</v>
      </c>
    </row>
    <row r="45" spans="3:11" ht="19.5" customHeight="1" thickBot="1" thickTop="1">
      <c r="C45" s="53"/>
      <c r="D45" s="53"/>
      <c r="E45" s="53"/>
      <c r="F45" s="196" t="s">
        <v>10</v>
      </c>
      <c r="G45" s="196"/>
      <c r="H45" s="196"/>
      <c r="I45" s="196"/>
      <c r="J45" s="196"/>
      <c r="K45" s="87"/>
    </row>
    <row r="46" spans="1:11" ht="16.5" thickBot="1" thickTop="1">
      <c r="A46" s="56"/>
      <c r="B46" s="56"/>
      <c r="C46" s="90" t="s">
        <v>9</v>
      </c>
      <c r="D46" s="92">
        <f>Intro!H4</f>
        <v>39082</v>
      </c>
      <c r="E46" s="56"/>
      <c r="F46" s="189">
        <f>Intro!C4</f>
        <v>192.8</v>
      </c>
      <c r="G46" s="190"/>
      <c r="H46" s="91"/>
      <c r="I46" s="189">
        <f>Intro!F4</f>
        <v>241</v>
      </c>
      <c r="J46" s="190"/>
      <c r="K46" s="56"/>
    </row>
    <row r="47" spans="3:12" ht="15" thickTop="1">
      <c r="C47" s="28"/>
      <c r="D47" s="28"/>
      <c r="E47" s="28"/>
      <c r="L47" s="56"/>
    </row>
  </sheetData>
  <sheetProtection/>
  <mergeCells count="33">
    <mergeCell ref="H20:K21"/>
    <mergeCell ref="H24:K25"/>
    <mergeCell ref="C11:D11"/>
    <mergeCell ref="D12:D13"/>
    <mergeCell ref="E16:G17"/>
    <mergeCell ref="G18:G19"/>
    <mergeCell ref="C14:F15"/>
    <mergeCell ref="I32:J32"/>
    <mergeCell ref="F45:J45"/>
    <mergeCell ref="F46:G46"/>
    <mergeCell ref="I46:J46"/>
    <mergeCell ref="H32:H33"/>
    <mergeCell ref="G7:J9"/>
    <mergeCell ref="C30:J30"/>
    <mergeCell ref="C31:D31"/>
    <mergeCell ref="E31:G31"/>
    <mergeCell ref="H31:J31"/>
    <mergeCell ref="B4:H5"/>
    <mergeCell ref="I4:J4"/>
    <mergeCell ref="I5:J5"/>
    <mergeCell ref="B2:C2"/>
    <mergeCell ref="B32:B33"/>
    <mergeCell ref="C32:C33"/>
    <mergeCell ref="E7:F7"/>
    <mergeCell ref="E8:F8"/>
    <mergeCell ref="E9:F9"/>
    <mergeCell ref="E32:E33"/>
    <mergeCell ref="D32:D33"/>
    <mergeCell ref="F32:G32"/>
    <mergeCell ref="B12:B13"/>
    <mergeCell ref="E18:E19"/>
    <mergeCell ref="C12:C13"/>
    <mergeCell ref="F18:F19"/>
  </mergeCells>
  <conditionalFormatting sqref="B34:J44">
    <cfRule type="expression" priority="1" dxfId="0" stopIfTrue="1">
      <formula>(EVEN(ROW())=ROW())</formula>
    </cfRule>
  </conditionalFormatting>
  <conditionalFormatting sqref="E20:G26 B14:B24 C16:D24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showGridLines="0" zoomScale="87" zoomScaleNormal="87" zoomScalePageLayoutView="0" workbookViewId="0" topLeftCell="A1">
      <selection activeCell="H16" sqref="H16"/>
    </sheetView>
  </sheetViews>
  <sheetFormatPr defaultColWidth="11.19921875" defaultRowHeight="15"/>
  <cols>
    <col min="1" max="1" width="6.09765625" style="3" customWidth="1"/>
    <col min="2" max="3" width="16.69921875" style="3" customWidth="1"/>
    <col min="4" max="4" width="11" style="4" customWidth="1"/>
    <col min="5" max="6" width="16.69921875" style="3" customWidth="1"/>
    <col min="7" max="7" width="11" style="3" customWidth="1"/>
    <col min="8" max="9" width="16.69921875" style="3" customWidth="1"/>
    <col min="10" max="16384" width="11" style="3" customWidth="1"/>
  </cols>
  <sheetData>
    <row r="1" spans="2:9" ht="23.25">
      <c r="B1" s="219" t="s">
        <v>52</v>
      </c>
      <c r="C1" s="219"/>
      <c r="D1" s="219"/>
      <c r="E1" s="219"/>
      <c r="F1" s="219"/>
      <c r="G1" s="219"/>
      <c r="H1" s="219"/>
      <c r="I1" s="219"/>
    </row>
    <row r="2" ht="24" thickBot="1"/>
    <row r="3" spans="2:9" s="2" customFormat="1" ht="23.25" thickBot="1">
      <c r="B3" s="223" t="s">
        <v>34</v>
      </c>
      <c r="C3" s="224"/>
      <c r="D3" s="1"/>
      <c r="E3" s="223" t="s">
        <v>35</v>
      </c>
      <c r="F3" s="224"/>
      <c r="H3" s="223" t="s">
        <v>36</v>
      </c>
      <c r="I3" s="224"/>
    </row>
    <row r="4" spans="2:9" s="5" customFormat="1" ht="23.25">
      <c r="B4" s="10" t="s">
        <v>13</v>
      </c>
      <c r="C4" s="11" t="s">
        <v>14</v>
      </c>
      <c r="D4" s="6"/>
      <c r="E4" s="10" t="s">
        <v>13</v>
      </c>
      <c r="F4" s="11" t="s">
        <v>14</v>
      </c>
      <c r="H4" s="10" t="s">
        <v>13</v>
      </c>
      <c r="I4" s="11" t="s">
        <v>14</v>
      </c>
    </row>
    <row r="5" spans="2:9" ht="23.25">
      <c r="B5" s="7">
        <v>1</v>
      </c>
      <c r="C5" s="8">
        <v>341</v>
      </c>
      <c r="E5" s="7">
        <v>1</v>
      </c>
      <c r="F5" s="8">
        <v>349</v>
      </c>
      <c r="H5" s="7">
        <v>1</v>
      </c>
      <c r="I5" s="8">
        <v>495</v>
      </c>
    </row>
    <row r="6" spans="2:9" ht="23.25">
      <c r="B6" s="7">
        <v>2</v>
      </c>
      <c r="C6" s="8">
        <v>357</v>
      </c>
      <c r="E6" s="7">
        <v>2</v>
      </c>
      <c r="F6" s="8">
        <v>376</v>
      </c>
      <c r="H6" s="7">
        <v>2</v>
      </c>
      <c r="I6" s="8">
        <v>560</v>
      </c>
    </row>
    <row r="7" spans="2:9" ht="23.25">
      <c r="B7" s="7">
        <v>3</v>
      </c>
      <c r="C7" s="8">
        <v>366</v>
      </c>
      <c r="E7" s="7">
        <v>3</v>
      </c>
      <c r="F7" s="13">
        <v>432</v>
      </c>
      <c r="H7" s="7">
        <v>3</v>
      </c>
      <c r="I7" s="8">
        <v>601</v>
      </c>
    </row>
    <row r="8" spans="2:9" ht="23.25">
      <c r="B8" s="7">
        <v>4</v>
      </c>
      <c r="C8" s="8">
        <v>373</v>
      </c>
      <c r="E8" s="7">
        <v>4</v>
      </c>
      <c r="F8" s="13">
        <v>445</v>
      </c>
      <c r="H8" s="7">
        <v>4</v>
      </c>
      <c r="I8" s="8">
        <v>642</v>
      </c>
    </row>
    <row r="9" spans="2:9" ht="23.25">
      <c r="B9" s="7">
        <v>5</v>
      </c>
      <c r="C9" s="8">
        <v>383</v>
      </c>
      <c r="E9" s="7">
        <v>5</v>
      </c>
      <c r="F9" s="13">
        <v>458</v>
      </c>
      <c r="H9" s="7">
        <v>5</v>
      </c>
      <c r="I9" s="8">
        <v>695</v>
      </c>
    </row>
    <row r="10" spans="2:9" ht="23.25">
      <c r="B10" s="7">
        <v>6</v>
      </c>
      <c r="C10" s="8">
        <v>390</v>
      </c>
      <c r="E10" s="7">
        <v>6</v>
      </c>
      <c r="F10" s="8">
        <v>467</v>
      </c>
      <c r="H10" s="7">
        <v>6</v>
      </c>
      <c r="I10" s="8">
        <v>741</v>
      </c>
    </row>
    <row r="11" spans="2:9" ht="23.25">
      <c r="B11" s="7">
        <v>7</v>
      </c>
      <c r="C11" s="8">
        <v>399</v>
      </c>
      <c r="E11" s="7">
        <v>7</v>
      </c>
      <c r="F11" s="8">
        <v>495</v>
      </c>
      <c r="H11" s="7">
        <v>7</v>
      </c>
      <c r="I11" s="8">
        <v>783</v>
      </c>
    </row>
    <row r="12" spans="2:6" ht="23.25">
      <c r="B12" s="7">
        <v>8</v>
      </c>
      <c r="C12" s="8">
        <v>420</v>
      </c>
      <c r="E12" s="7">
        <v>8</v>
      </c>
      <c r="F12" s="8">
        <v>531</v>
      </c>
    </row>
    <row r="13" spans="2:6" ht="23.25">
      <c r="B13" s="7">
        <v>9</v>
      </c>
      <c r="C13" s="8">
        <v>441</v>
      </c>
      <c r="E13" s="7">
        <v>9</v>
      </c>
      <c r="F13" s="8">
        <v>567</v>
      </c>
    </row>
    <row r="14" spans="2:6" ht="23.25">
      <c r="B14" s="7">
        <v>10</v>
      </c>
      <c r="C14" s="8">
        <v>469</v>
      </c>
      <c r="E14" s="7">
        <v>10</v>
      </c>
      <c r="F14" s="8">
        <v>612</v>
      </c>
    </row>
    <row r="15" spans="2:6" ht="24" thickBot="1">
      <c r="B15" s="9">
        <v>11</v>
      </c>
      <c r="C15" s="12">
        <v>515</v>
      </c>
      <c r="E15" s="9">
        <v>11</v>
      </c>
      <c r="F15" s="12">
        <v>658</v>
      </c>
    </row>
    <row r="17" spans="2:9" ht="23.25">
      <c r="B17" s="220" t="s">
        <v>55</v>
      </c>
      <c r="C17" s="220"/>
      <c r="D17" s="220"/>
      <c r="E17" s="220"/>
      <c r="F17" s="220"/>
      <c r="G17" s="220"/>
      <c r="H17" s="220"/>
      <c r="I17" s="220"/>
    </row>
    <row r="18" spans="2:9" ht="24" thickBot="1">
      <c r="B18" s="14"/>
      <c r="C18" s="14"/>
      <c r="D18" s="15"/>
      <c r="E18" s="14"/>
      <c r="F18" s="14"/>
      <c r="G18" s="14"/>
      <c r="H18" s="14"/>
      <c r="I18" s="14"/>
    </row>
    <row r="19" spans="2:9" s="2" customFormat="1" ht="24" thickBot="1">
      <c r="B19" s="221" t="s">
        <v>34</v>
      </c>
      <c r="C19" s="222"/>
      <c r="D19" s="126"/>
      <c r="E19" s="221" t="s">
        <v>35</v>
      </c>
      <c r="F19" s="222"/>
      <c r="G19" s="127"/>
      <c r="H19" s="221" t="s">
        <v>36</v>
      </c>
      <c r="I19" s="222"/>
    </row>
    <row r="20" spans="2:9" s="5" customFormat="1" ht="23.25">
      <c r="B20" s="16" t="s">
        <v>13</v>
      </c>
      <c r="C20" s="17" t="s">
        <v>14</v>
      </c>
      <c r="D20" s="128"/>
      <c r="E20" s="16" t="s">
        <v>13</v>
      </c>
      <c r="F20" s="17" t="s">
        <v>14</v>
      </c>
      <c r="G20" s="129"/>
      <c r="H20" s="16" t="s">
        <v>13</v>
      </c>
      <c r="I20" s="17" t="s">
        <v>14</v>
      </c>
    </row>
    <row r="21" spans="2:9" ht="23.25">
      <c r="B21" s="18">
        <v>1</v>
      </c>
      <c r="C21" s="19">
        <v>341</v>
      </c>
      <c r="D21" s="15"/>
      <c r="E21" s="18">
        <v>1</v>
      </c>
      <c r="F21" s="19">
        <v>349</v>
      </c>
      <c r="G21" s="14"/>
      <c r="H21" s="18">
        <v>1</v>
      </c>
      <c r="I21" s="19">
        <v>495</v>
      </c>
    </row>
    <row r="22" spans="2:9" ht="23.25">
      <c r="B22" s="18">
        <v>2</v>
      </c>
      <c r="C22" s="19">
        <v>357</v>
      </c>
      <c r="D22" s="15"/>
      <c r="E22" s="18">
        <v>2</v>
      </c>
      <c r="F22" s="19">
        <v>376</v>
      </c>
      <c r="G22" s="14"/>
      <c r="H22" s="18">
        <v>2</v>
      </c>
      <c r="I22" s="19">
        <v>560</v>
      </c>
    </row>
    <row r="23" spans="2:9" ht="23.25">
      <c r="B23" s="18">
        <v>3</v>
      </c>
      <c r="C23" s="19">
        <v>366</v>
      </c>
      <c r="D23" s="15"/>
      <c r="E23" s="18">
        <v>3</v>
      </c>
      <c r="F23" s="130">
        <v>410</v>
      </c>
      <c r="G23" s="14"/>
      <c r="H23" s="18">
        <v>3</v>
      </c>
      <c r="I23" s="19">
        <v>601</v>
      </c>
    </row>
    <row r="24" spans="2:9" ht="23.25">
      <c r="B24" s="18">
        <v>4</v>
      </c>
      <c r="C24" s="19">
        <v>373</v>
      </c>
      <c r="D24" s="15"/>
      <c r="E24" s="18">
        <v>4</v>
      </c>
      <c r="F24" s="130">
        <v>431</v>
      </c>
      <c r="G24" s="14"/>
      <c r="H24" s="18">
        <v>4</v>
      </c>
      <c r="I24" s="19">
        <v>642</v>
      </c>
    </row>
    <row r="25" spans="2:9" ht="23.25">
      <c r="B25" s="18">
        <v>5</v>
      </c>
      <c r="C25" s="19">
        <v>383</v>
      </c>
      <c r="D25" s="15"/>
      <c r="E25" s="18">
        <v>5</v>
      </c>
      <c r="F25" s="130">
        <v>453</v>
      </c>
      <c r="G25" s="14"/>
      <c r="H25" s="18">
        <v>5</v>
      </c>
      <c r="I25" s="19">
        <v>695</v>
      </c>
    </row>
    <row r="26" spans="2:9" ht="23.25">
      <c r="B26" s="18">
        <v>6</v>
      </c>
      <c r="C26" s="19">
        <v>390</v>
      </c>
      <c r="D26" s="15"/>
      <c r="E26" s="18">
        <v>6</v>
      </c>
      <c r="F26" s="19">
        <v>467</v>
      </c>
      <c r="G26" s="14"/>
      <c r="H26" s="18">
        <v>6</v>
      </c>
      <c r="I26" s="19">
        <v>741</v>
      </c>
    </row>
    <row r="27" spans="2:9" ht="23.25">
      <c r="B27" s="18">
        <v>7</v>
      </c>
      <c r="C27" s="19">
        <v>399</v>
      </c>
      <c r="D27" s="15"/>
      <c r="E27" s="18">
        <v>7</v>
      </c>
      <c r="F27" s="19">
        <v>495</v>
      </c>
      <c r="G27" s="14"/>
      <c r="H27" s="18">
        <v>7</v>
      </c>
      <c r="I27" s="19">
        <v>783</v>
      </c>
    </row>
    <row r="28" spans="2:9" ht="23.25">
      <c r="B28" s="18">
        <v>8</v>
      </c>
      <c r="C28" s="19">
        <v>420</v>
      </c>
      <c r="D28" s="15"/>
      <c r="E28" s="18">
        <v>8</v>
      </c>
      <c r="F28" s="19">
        <v>531</v>
      </c>
      <c r="G28" s="14"/>
      <c r="H28" s="14"/>
      <c r="I28" s="14"/>
    </row>
    <row r="29" spans="2:9" ht="23.25">
      <c r="B29" s="18">
        <v>9</v>
      </c>
      <c r="C29" s="19">
        <v>441</v>
      </c>
      <c r="D29" s="15"/>
      <c r="E29" s="18">
        <v>9</v>
      </c>
      <c r="F29" s="19">
        <v>567</v>
      </c>
      <c r="G29" s="14"/>
      <c r="H29" s="14"/>
      <c r="I29" s="14"/>
    </row>
    <row r="30" spans="2:9" ht="23.25">
      <c r="B30" s="18">
        <v>10</v>
      </c>
      <c r="C30" s="19">
        <v>469</v>
      </c>
      <c r="D30" s="15"/>
      <c r="E30" s="18">
        <v>10</v>
      </c>
      <c r="F30" s="19">
        <v>612</v>
      </c>
      <c r="G30" s="14"/>
      <c r="H30" s="14"/>
      <c r="I30" s="14"/>
    </row>
    <row r="31" spans="2:9" ht="24" thickBot="1">
      <c r="B31" s="20">
        <v>11</v>
      </c>
      <c r="C31" s="21">
        <v>515</v>
      </c>
      <c r="D31" s="15"/>
      <c r="E31" s="20">
        <v>11</v>
      </c>
      <c r="F31" s="21">
        <v>658</v>
      </c>
      <c r="G31" s="14"/>
      <c r="H31" s="14"/>
      <c r="I31" s="14"/>
    </row>
    <row r="33" spans="2:9" ht="23.25">
      <c r="B33" s="220" t="s">
        <v>56</v>
      </c>
      <c r="C33" s="220"/>
      <c r="D33" s="220"/>
      <c r="E33" s="220"/>
      <c r="F33" s="220"/>
      <c r="G33" s="220"/>
      <c r="H33" s="220"/>
      <c r="I33" s="220"/>
    </row>
    <row r="34" spans="2:9" ht="24" thickBot="1">
      <c r="B34" s="14"/>
      <c r="C34" s="14"/>
      <c r="D34" s="15"/>
      <c r="E34" s="14"/>
      <c r="F34" s="14"/>
      <c r="G34" s="14"/>
      <c r="H34" s="14"/>
      <c r="I34" s="14"/>
    </row>
    <row r="35" spans="2:9" ht="24" thickBot="1">
      <c r="B35" s="14"/>
      <c r="C35" s="14"/>
      <c r="D35" s="15"/>
      <c r="E35" s="221" t="s">
        <v>35</v>
      </c>
      <c r="F35" s="222"/>
      <c r="G35" s="14"/>
      <c r="H35" s="14"/>
      <c r="I35" s="14"/>
    </row>
    <row r="36" spans="2:9" ht="23.25">
      <c r="B36" s="14"/>
      <c r="C36" s="14"/>
      <c r="D36" s="15"/>
      <c r="E36" s="16" t="s">
        <v>13</v>
      </c>
      <c r="F36" s="17" t="s">
        <v>14</v>
      </c>
      <c r="G36" s="14"/>
      <c r="H36" s="14"/>
      <c r="I36" s="14"/>
    </row>
    <row r="37" spans="2:9" ht="23.25">
      <c r="B37" s="14"/>
      <c r="C37" s="14"/>
      <c r="D37" s="15"/>
      <c r="E37" s="18">
        <v>1</v>
      </c>
      <c r="F37" s="19">
        <v>349</v>
      </c>
      <c r="G37" s="14"/>
      <c r="H37" s="14"/>
      <c r="I37" s="14"/>
    </row>
    <row r="38" spans="2:9" ht="23.25">
      <c r="B38" s="14"/>
      <c r="C38" s="14"/>
      <c r="D38" s="15"/>
      <c r="E38" s="18">
        <v>2</v>
      </c>
      <c r="F38" s="19">
        <v>376</v>
      </c>
      <c r="G38" s="14"/>
      <c r="H38" s="14"/>
      <c r="I38" s="14"/>
    </row>
    <row r="39" spans="2:9" ht="23.25">
      <c r="B39" s="14"/>
      <c r="C39" s="14"/>
      <c r="D39" s="15"/>
      <c r="E39" s="18">
        <v>3</v>
      </c>
      <c r="F39" s="19">
        <v>395</v>
      </c>
      <c r="G39" s="14"/>
      <c r="H39" s="14"/>
      <c r="I39" s="14"/>
    </row>
    <row r="40" spans="2:9" ht="23.25">
      <c r="B40" s="14"/>
      <c r="C40" s="14"/>
      <c r="D40" s="15"/>
      <c r="E40" s="18">
        <v>4</v>
      </c>
      <c r="F40" s="19">
        <v>416</v>
      </c>
      <c r="G40" s="14"/>
      <c r="H40" s="14"/>
      <c r="I40" s="14"/>
    </row>
    <row r="41" spans="2:9" ht="23.25">
      <c r="B41" s="14"/>
      <c r="C41" s="14"/>
      <c r="D41" s="15"/>
      <c r="E41" s="18">
        <v>5</v>
      </c>
      <c r="F41" s="19">
        <v>439</v>
      </c>
      <c r="G41" s="14"/>
      <c r="H41" s="14"/>
      <c r="I41" s="14"/>
    </row>
    <row r="42" spans="2:9" ht="23.25">
      <c r="B42" s="14"/>
      <c r="C42" s="14"/>
      <c r="D42" s="15"/>
      <c r="E42" s="18">
        <v>6</v>
      </c>
      <c r="F42" s="19">
        <v>467</v>
      </c>
      <c r="G42" s="14"/>
      <c r="H42" s="14"/>
      <c r="I42" s="14"/>
    </row>
    <row r="43" spans="2:9" ht="23.25">
      <c r="B43" s="14"/>
      <c r="C43" s="14"/>
      <c r="D43" s="15"/>
      <c r="E43" s="18">
        <v>7</v>
      </c>
      <c r="F43" s="19">
        <v>495</v>
      </c>
      <c r="G43" s="14"/>
      <c r="H43" s="14"/>
      <c r="I43" s="14"/>
    </row>
    <row r="44" spans="2:9" ht="23.25">
      <c r="B44" s="14"/>
      <c r="C44" s="14"/>
      <c r="D44" s="15"/>
      <c r="E44" s="18">
        <v>8</v>
      </c>
      <c r="F44" s="19">
        <v>531</v>
      </c>
      <c r="G44" s="14"/>
      <c r="H44" s="14"/>
      <c r="I44" s="14"/>
    </row>
    <row r="45" spans="2:9" ht="23.25">
      <c r="B45" s="14"/>
      <c r="C45" s="14"/>
      <c r="D45" s="15"/>
      <c r="E45" s="18">
        <v>9</v>
      </c>
      <c r="F45" s="19">
        <v>567</v>
      </c>
      <c r="G45" s="14"/>
      <c r="H45" s="14"/>
      <c r="I45" s="14"/>
    </row>
    <row r="46" spans="2:9" ht="23.25">
      <c r="B46" s="14"/>
      <c r="C46" s="14"/>
      <c r="D46" s="15"/>
      <c r="E46" s="18">
        <v>10</v>
      </c>
      <c r="F46" s="19">
        <v>612</v>
      </c>
      <c r="G46" s="14"/>
      <c r="H46" s="14"/>
      <c r="I46" s="14"/>
    </row>
    <row r="47" spans="2:9" ht="24" thickBot="1">
      <c r="B47" s="14"/>
      <c r="C47" s="14"/>
      <c r="D47" s="15"/>
      <c r="E47" s="20">
        <v>11</v>
      </c>
      <c r="F47" s="21">
        <v>658</v>
      </c>
      <c r="G47" s="14"/>
      <c r="H47" s="14"/>
      <c r="I47" s="14"/>
    </row>
  </sheetData>
  <sheetProtection sheet="1"/>
  <mergeCells count="10">
    <mergeCell ref="B1:I1"/>
    <mergeCell ref="B33:I33"/>
    <mergeCell ref="E35:F35"/>
    <mergeCell ref="B3:C3"/>
    <mergeCell ref="E3:F3"/>
    <mergeCell ref="H3:I3"/>
    <mergeCell ref="B17:I17"/>
    <mergeCell ref="B19:C19"/>
    <mergeCell ref="E19:F19"/>
    <mergeCell ref="H19:I19"/>
  </mergeCells>
  <conditionalFormatting sqref="B3:C15 E35:F47 H3:I11 E3:F15">
    <cfRule type="expression" priority="2" dxfId="14" stopIfTrue="1">
      <formula>(EVEN(ROW())=ROW())</formula>
    </cfRule>
  </conditionalFormatting>
  <conditionalFormatting sqref="B19:C31 H19:I27 E19:F31">
    <cfRule type="expression" priority="1" dxfId="14" stopIfTrue="1">
      <formula>(EVEN(ROW())=ROW())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claude brusaporco snuipp du </cp:lastModifiedBy>
  <cp:lastPrinted>2012-07-04T14:07:36Z</cp:lastPrinted>
  <dcterms:created xsi:type="dcterms:W3CDTF">2001-03-06T15:12:50Z</dcterms:created>
  <dcterms:modified xsi:type="dcterms:W3CDTF">2012-09-18T08:28:45Z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