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50" windowWidth="15360" windowHeight="8625" tabRatio="904" activeTab="0"/>
  </bookViews>
  <sheets>
    <sheet name="Intro" sheetId="1" r:id="rId1"/>
    <sheet name="Zone 1 _ 3_100 " sheetId="2" r:id="rId2"/>
    <sheet name="Zone 2 _ 1_100" sheetId="3" r:id="rId3"/>
    <sheet name="Zone 3 _ 0_100" sheetId="4" r:id="rId4"/>
    <sheet name="Zone 1 _ mi_temps" sheetId="5" r:id="rId5"/>
    <sheet name="Zone 2 _ mi_temps" sheetId="6" r:id="rId6"/>
    <sheet name="Zone 3 _ mi_temps" sheetId="7" r:id="rId7"/>
    <sheet name="Indices" sheetId="8" r:id="rId8"/>
    <sheet name="Retenues PC" sheetId="9" r:id="rId9"/>
  </sheets>
  <externalReferences>
    <externalReference r:id="rId12"/>
  </externalReferences>
  <definedNames>
    <definedName name="Cacul22">#REF!</definedName>
    <definedName name="calcul2">#REF!</definedName>
    <definedName name="calcul3">#REF!</definedName>
    <definedName name="Calcul33">#REF!</definedName>
    <definedName name="inddiff">"Objet 2"</definedName>
    <definedName name="indemnité_diff">#REF!</definedName>
    <definedName name="nom_zone2">#REF!</definedName>
    <definedName name="nom_zone3">#REF!</definedName>
    <definedName name="Reclassement">#REF!</definedName>
    <definedName name="_xlnm.Print_Area" localSheetId="7">'Indices'!$A$1:$I$31</definedName>
    <definedName name="_xlnm.Print_Area" localSheetId="0">'Intro'!$A$1:$N$21</definedName>
    <definedName name="_xlnm.Print_Area" localSheetId="8">'Retenues PC'!$B$2:$G$18</definedName>
    <definedName name="_xlnm.Print_Area" localSheetId="1">'Zone 1 _ 3_100 '!$B$4:$K$46</definedName>
    <definedName name="_xlnm.Print_Area" localSheetId="4">'Zone 1 _ mi_temps'!$B$4:$K$47</definedName>
    <definedName name="_xlnm.Print_Area" localSheetId="2">'Zone 2 _ 1_100'!$A$3:$L$48</definedName>
    <definedName name="_xlnm.Print_Area" localSheetId="5">'Zone 2 _ mi_temps'!$B$4:$K$47</definedName>
    <definedName name="_xlnm.Print_Area" localSheetId="3">'Zone 3 _ 0_100'!$B$4:$K$45</definedName>
    <definedName name="_xlnm.Print_Area" localSheetId="6">'Zone 3 _ mi_temps'!$B$4:$K$46</definedName>
  </definedNames>
  <calcPr fullCalcOnLoad="1"/>
</workbook>
</file>

<file path=xl/sharedStrings.xml><?xml version="1.0" encoding="utf-8"?>
<sst xmlns="http://schemas.openxmlformats.org/spreadsheetml/2006/main" count="288" uniqueCount="66">
  <si>
    <t>avec IRL célibataire</t>
  </si>
  <si>
    <t>avec IRL marié/enfant</t>
  </si>
  <si>
    <t xml:space="preserve">Valeur brute mensuelle </t>
  </si>
  <si>
    <t xml:space="preserve">Valeur nette mensuelle </t>
  </si>
  <si>
    <t xml:space="preserve">Valeur annuelle pt indiciaire </t>
  </si>
  <si>
    <t>marié/enft</t>
  </si>
  <si>
    <t xml:space="preserve">Montant IRL  </t>
  </si>
  <si>
    <t>taux au</t>
  </si>
  <si>
    <t>Zone 2 : indemnité de résidence à 1%</t>
  </si>
  <si>
    <t>Taux au</t>
  </si>
  <si>
    <t>I. R. L. versée à part (hors fiche de paie)</t>
  </si>
  <si>
    <t>(indemnité de résidence + 1% incluse)</t>
  </si>
  <si>
    <t>Instituteur (trice)</t>
  </si>
  <si>
    <t>Echelon</t>
  </si>
  <si>
    <t>Indice</t>
  </si>
  <si>
    <t>Net mensuel</t>
  </si>
  <si>
    <t xml:space="preserve">* sont retirés du salaire brut : </t>
  </si>
  <si>
    <t>Prof des écoles</t>
  </si>
  <si>
    <t>en €</t>
  </si>
  <si>
    <t>au</t>
  </si>
  <si>
    <t>(indemnité de résidence + 3% incluse)</t>
  </si>
  <si>
    <t>à mettre à jour</t>
  </si>
  <si>
    <t>valeur point indice</t>
  </si>
  <si>
    <t>Zone 1 : indemnité de résidence à 3%</t>
  </si>
  <si>
    <t>Zone 3 : indemnité de résidence à 0%</t>
  </si>
  <si>
    <t>Pour connaître son salaire net en fonction des échelons, cliquez ci-dessous sur votre zone de résidence</t>
  </si>
  <si>
    <t>sans IRL</t>
  </si>
  <si>
    <t>Fiche de paie</t>
  </si>
  <si>
    <r>
      <t xml:space="preserve">Réel mensuel </t>
    </r>
    <r>
      <rPr>
        <i/>
        <sz val="10"/>
        <rFont val="Times New Roman"/>
        <family val="1"/>
      </rPr>
      <t>(avec IRL)</t>
    </r>
  </si>
  <si>
    <r>
      <t xml:space="preserve">P.E. Hors Classe
</t>
    </r>
    <r>
      <rPr>
        <sz val="9"/>
        <rFont val="Times New Roman"/>
        <family val="1"/>
      </rPr>
      <t>(accès possible en théorie à partir du 7ème échelon PE)</t>
    </r>
  </si>
  <si>
    <t>si mi-temps</t>
  </si>
  <si>
    <t>En italique, montant soumis à contribution solidarité (plafond dépassé)</t>
  </si>
  <si>
    <t>Hors cotisation MGEN</t>
  </si>
  <si>
    <t>RETOUR</t>
  </si>
  <si>
    <t>Instituteurs (trices)</t>
  </si>
  <si>
    <t>PE</t>
  </si>
  <si>
    <t>PE Hors Classe</t>
  </si>
  <si>
    <t>Le net mensuel ci-dessous est arrondi à l'€ le plus proche</t>
  </si>
  <si>
    <r>
      <t xml:space="preserve">Traitements nets arrondis </t>
    </r>
    <r>
      <rPr>
        <b/>
        <sz val="14"/>
        <rFont val="Arial"/>
        <family val="2"/>
      </rPr>
      <t xml:space="preserve">(RAFP déduite)
</t>
    </r>
    <r>
      <rPr>
        <b/>
        <sz val="12"/>
        <rFont val="Arial"/>
        <family val="2"/>
      </rPr>
      <t xml:space="preserve">pour une commune à </t>
    </r>
    <r>
      <rPr>
        <b/>
        <sz val="24"/>
        <rFont val="Arial"/>
        <family val="2"/>
      </rPr>
      <t>1</t>
    </r>
    <r>
      <rPr>
        <b/>
        <sz val="18"/>
        <rFont val="Arial"/>
        <family val="2"/>
      </rPr>
      <t>%</t>
    </r>
    <r>
      <rPr>
        <b/>
        <sz val="12"/>
        <rFont val="Arial"/>
        <family val="2"/>
      </rPr>
      <t xml:space="preserve"> d'indemnité de résidence (</t>
    </r>
    <r>
      <rPr>
        <b/>
        <sz val="18"/>
        <rFont val="Arial"/>
        <family val="2"/>
      </rPr>
      <t>zone 2</t>
    </r>
    <r>
      <rPr>
        <b/>
        <sz val="12"/>
        <rFont val="Arial"/>
        <family val="2"/>
      </rPr>
      <t>)</t>
    </r>
  </si>
  <si>
    <r>
      <t xml:space="preserve">Réel mensuel </t>
    </r>
    <r>
      <rPr>
        <i/>
        <sz val="10"/>
        <rFont val="Arial"/>
        <family val="2"/>
      </rPr>
      <t>(avec IRL)</t>
    </r>
  </si>
  <si>
    <r>
      <t xml:space="preserve">P.E. Hors Classe
</t>
    </r>
    <r>
      <rPr>
        <sz val="7"/>
        <rFont val="Arial"/>
        <family val="2"/>
      </rPr>
      <t>(accès possible en théorie à partir du 7ème échelon PE)</t>
    </r>
  </si>
  <si>
    <r>
      <t>Contribution solidarité</t>
    </r>
    <r>
      <rPr>
        <sz val="9"/>
        <rFont val="Arial"/>
        <family val="2"/>
      </rPr>
      <t xml:space="preserve"> 1% de (trait. brut + indemnités
(sauf ISSR et IRL) + supp. familial moins pension et RAFP)</t>
    </r>
  </si>
  <si>
    <t xml:space="preserve">Taux au </t>
  </si>
  <si>
    <r>
      <t>Traitements nets arrondis</t>
    </r>
    <r>
      <rPr>
        <b/>
        <sz val="14"/>
        <rFont val="Arial"/>
        <family val="2"/>
      </rPr>
      <t xml:space="preserve"> (RAFP déduite)
</t>
    </r>
    <r>
      <rPr>
        <b/>
        <sz val="12"/>
        <rFont val="Arial"/>
        <family val="2"/>
      </rPr>
      <t xml:space="preserve">pour une commune à </t>
    </r>
    <r>
      <rPr>
        <b/>
        <sz val="24"/>
        <rFont val="Arial"/>
        <family val="2"/>
      </rPr>
      <t>3</t>
    </r>
    <r>
      <rPr>
        <b/>
        <sz val="18"/>
        <rFont val="Arial"/>
        <family val="2"/>
      </rPr>
      <t>%</t>
    </r>
    <r>
      <rPr>
        <b/>
        <sz val="12"/>
        <rFont val="Arial"/>
        <family val="2"/>
      </rPr>
      <t xml:space="preserve"> d'indemnité de résidence (</t>
    </r>
    <r>
      <rPr>
        <b/>
        <sz val="18"/>
        <rFont val="Arial"/>
        <family val="2"/>
      </rPr>
      <t>zone 1</t>
    </r>
    <r>
      <rPr>
        <b/>
        <sz val="12"/>
        <rFont val="Arial"/>
        <family val="2"/>
      </rPr>
      <t>)</t>
    </r>
  </si>
  <si>
    <r>
      <t>Retraite Additionnelle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Fonction Publique (RAFP)
</t>
    </r>
    <r>
      <rPr>
        <sz val="9"/>
        <rFont val="Arial"/>
        <family val="2"/>
      </rPr>
      <t>5% de l'indemnité de résidence et IRL</t>
    </r>
  </si>
  <si>
    <r>
      <t xml:space="preserve">P.E. Hors Classe
</t>
    </r>
    <r>
      <rPr>
        <sz val="7"/>
        <rFont val="Times New Roman"/>
        <family val="1"/>
      </rPr>
      <t>(accès possible en théorie à partir du 7ème échelon PE)</t>
    </r>
  </si>
  <si>
    <t>Taux retenue pension civile</t>
  </si>
  <si>
    <t>Ces échelons sont abandonnés depuis le 1/9/2010
(les PE accèdent désormais directement au 3ème échelon)</t>
  </si>
  <si>
    <t>au 01/02/2012</t>
  </si>
  <si>
    <t>Assiette CSG/CRDS</t>
  </si>
  <si>
    <t>Taux CSG</t>
  </si>
  <si>
    <t>Rappel : au 01/09/2010</t>
  </si>
  <si>
    <t>rappel : au 01/11/2006</t>
  </si>
  <si>
    <t>(depuis le 1/7/2010)</t>
  </si>
  <si>
    <t>Taux CRDS</t>
  </si>
  <si>
    <t>depuis le</t>
  </si>
  <si>
    <r>
      <t>Traitements nets arrondis</t>
    </r>
    <r>
      <rPr>
        <b/>
        <sz val="14"/>
        <rFont val="Times New Roman"/>
        <family val="1"/>
      </rPr>
      <t xml:space="preserve"> </t>
    </r>
    <r>
      <rPr>
        <b/>
        <sz val="14"/>
        <rFont val="Arial"/>
        <family val="2"/>
      </rPr>
      <t xml:space="preserve">(RAFP déduite)
</t>
    </r>
    <r>
      <rPr>
        <b/>
        <u val="single"/>
        <sz val="12"/>
        <rFont val="Arial"/>
        <family val="2"/>
      </rPr>
      <t>MI-TEMPS</t>
    </r>
    <r>
      <rPr>
        <b/>
        <sz val="12"/>
        <rFont val="Arial"/>
        <family val="2"/>
      </rPr>
      <t xml:space="preserve"> pour une commune à </t>
    </r>
    <r>
      <rPr>
        <b/>
        <sz val="24"/>
        <rFont val="Arial"/>
        <family val="2"/>
      </rPr>
      <t>3</t>
    </r>
    <r>
      <rPr>
        <b/>
        <sz val="18"/>
        <rFont val="Arial"/>
        <family val="2"/>
      </rPr>
      <t>%</t>
    </r>
    <r>
      <rPr>
        <b/>
        <sz val="12"/>
        <rFont val="Arial"/>
        <family val="2"/>
      </rPr>
      <t xml:space="preserve"> d'indemnité de résidence (zone 1)</t>
    </r>
  </si>
  <si>
    <r>
      <t>Traitements nets arrondis</t>
    </r>
    <r>
      <rPr>
        <b/>
        <sz val="14"/>
        <rFont val="Times New Roman"/>
        <family val="1"/>
      </rPr>
      <t xml:space="preserve"> </t>
    </r>
    <r>
      <rPr>
        <b/>
        <sz val="14"/>
        <rFont val="Arial"/>
        <family val="2"/>
      </rPr>
      <t xml:space="preserve">(RAFP déduite)
</t>
    </r>
    <r>
      <rPr>
        <b/>
        <u val="single"/>
        <sz val="12"/>
        <rFont val="Arial"/>
        <family val="2"/>
      </rPr>
      <t>MI-TEMPS</t>
    </r>
    <r>
      <rPr>
        <b/>
        <sz val="12"/>
        <rFont val="Arial"/>
        <family val="2"/>
      </rPr>
      <t xml:space="preserve"> pour une commune à </t>
    </r>
    <r>
      <rPr>
        <b/>
        <sz val="24"/>
        <rFont val="Arial"/>
        <family val="2"/>
      </rPr>
      <t>1</t>
    </r>
    <r>
      <rPr>
        <b/>
        <sz val="18"/>
        <rFont val="Arial"/>
        <family val="2"/>
      </rPr>
      <t>%</t>
    </r>
    <r>
      <rPr>
        <b/>
        <sz val="12"/>
        <rFont val="Arial"/>
        <family val="2"/>
      </rPr>
      <t xml:space="preserve"> d'indemnité de résidence (zone 2)</t>
    </r>
  </si>
  <si>
    <r>
      <t>Traitements nets arrondis</t>
    </r>
    <r>
      <rPr>
        <b/>
        <sz val="14"/>
        <rFont val="Times New Roman"/>
        <family val="1"/>
      </rPr>
      <t xml:space="preserve"> </t>
    </r>
    <r>
      <rPr>
        <b/>
        <sz val="14"/>
        <rFont val="Arial"/>
        <family val="2"/>
      </rPr>
      <t xml:space="preserve">(RAFP déduite)
</t>
    </r>
    <r>
      <rPr>
        <b/>
        <u val="single"/>
        <sz val="12"/>
        <rFont val="Arial"/>
        <family val="2"/>
      </rPr>
      <t>MI-TEMPS</t>
    </r>
    <r>
      <rPr>
        <b/>
        <sz val="12"/>
        <rFont val="Arial"/>
        <family val="2"/>
      </rPr>
      <t xml:space="preserve"> pour une commune à </t>
    </r>
    <r>
      <rPr>
        <b/>
        <sz val="24"/>
        <rFont val="Arial"/>
        <family val="2"/>
      </rPr>
      <t>0</t>
    </r>
    <r>
      <rPr>
        <b/>
        <sz val="18"/>
        <rFont val="Arial"/>
        <family val="2"/>
      </rPr>
      <t>%</t>
    </r>
    <r>
      <rPr>
        <b/>
        <sz val="12"/>
        <rFont val="Arial"/>
        <family val="2"/>
      </rPr>
      <t xml:space="preserve"> d'indemnité de résidence (zone 3)</t>
    </r>
  </si>
  <si>
    <r>
      <rPr>
        <b/>
        <sz val="18"/>
        <rFont val="Arial"/>
        <family val="2"/>
      </rPr>
      <t>Traitements nets arrondis (RAFP déduite)</t>
    </r>
    <r>
      <rPr>
        <b/>
        <sz val="24"/>
        <rFont val="Arial"/>
        <family val="2"/>
      </rPr>
      <t xml:space="preserve">
</t>
    </r>
    <r>
      <rPr>
        <b/>
        <sz val="12"/>
        <rFont val="Arial"/>
        <family val="2"/>
      </rPr>
      <t xml:space="preserve">pour une commune à </t>
    </r>
    <r>
      <rPr>
        <b/>
        <sz val="18"/>
        <rFont val="Arial"/>
        <family val="2"/>
      </rPr>
      <t xml:space="preserve">0% </t>
    </r>
    <r>
      <rPr>
        <b/>
        <sz val="12"/>
        <rFont val="Arial"/>
        <family val="2"/>
      </rPr>
      <t>d'indemnité de résidence</t>
    </r>
    <r>
      <rPr>
        <b/>
        <sz val="18"/>
        <rFont val="Arial"/>
        <family val="2"/>
      </rPr>
      <t xml:space="preserve"> (zone 3)</t>
    </r>
  </si>
  <si>
    <t>Valeur retenue Pension Civile</t>
  </si>
  <si>
    <t>Années</t>
  </si>
  <si>
    <t>en %</t>
  </si>
  <si>
    <r>
      <rPr>
        <i/>
        <sz val="14"/>
        <rFont val="Arial"/>
        <family val="2"/>
      </rPr>
      <t>du 01/11/2012 au 31/12/2012</t>
    </r>
    <r>
      <rPr>
        <b/>
        <i/>
        <sz val="14"/>
        <rFont val="Arial"/>
        <family val="2"/>
      </rPr>
      <t xml:space="preserve"> -&gt; 8,49%</t>
    </r>
  </si>
  <si>
    <t>date</t>
  </si>
  <si>
    <t>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</si>
</sst>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&quot;;[Red]\-#,##0.00&quot; F&quot;"/>
    <numFmt numFmtId="165" formatCode="_-* #,##0&quot; F&quot;_-;\-* #,##0&quot; F&quot;_-;_-* &quot;-&quot;&quot; F&quot;_-;_-@_-"/>
    <numFmt numFmtId="166" formatCode="_-* #,##0_ _F_-;\-* #,##0_ _F_-;_-* &quot;-&quot;_ _F_-;_-@_-"/>
    <numFmt numFmtId="167" formatCode="_-* #,##0.00&quot; F&quot;_-;\-* #,##0.00&quot; F&quot;_-;_-* &quot;-&quot;??&quot; F&quot;_-;_-@_-"/>
    <numFmt numFmtId="168" formatCode="_-* #,##0.00_ _F_-;\-* #,##0.00_ _F_-;_-* &quot;-&quot;??_ _F_-;_-@_-"/>
    <numFmt numFmtId="169" formatCode="_-* #,##0.00[$€]_-;\-* #,##0.00[$€]_-;_-* &quot;-&quot;??[$€]_-;_-@_-"/>
    <numFmt numFmtId="170" formatCode="_-* #,##0.00\ [$€-1]_-;\-* #,##0.00\ [$€-1]_-;_-* &quot;-&quot;??\ [$€-1]_-;_-@_-"/>
    <numFmt numFmtId="171" formatCode="#,##0.00\ [$€-1]"/>
    <numFmt numFmtId="172" formatCode="_-* #,##0.00\ [$F-40C]_-;\-* #,##0.00\ [$F-40C]_-;_-* &quot;-&quot;??\ [$F-40C]_-;_-@_-"/>
    <numFmt numFmtId="173" formatCode="#,##0.0000\ [$€-1]"/>
    <numFmt numFmtId="174" formatCode="#,##0\ &quot;€&quot;"/>
    <numFmt numFmtId="175" formatCode="#,##0\ [$€-1];\-#,##0\ [$€-1]"/>
    <numFmt numFmtId="176" formatCode="#,##0.00[$€];[Red]\-#,##0.00[$€]"/>
  </numFmts>
  <fonts count="98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b/>
      <sz val="14"/>
      <name val="Times New Roman"/>
      <family val="1"/>
    </font>
    <font>
      <u val="single"/>
      <sz val="13.7"/>
      <color indexed="12"/>
      <name val="Times"/>
      <family val="1"/>
    </font>
    <font>
      <u val="single"/>
      <sz val="13.7"/>
      <color indexed="36"/>
      <name val="Times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8"/>
      <color indexed="10"/>
      <name val="Times New Roman"/>
      <family val="1"/>
    </font>
    <font>
      <b/>
      <sz val="18"/>
      <name val="Times"/>
      <family val="1"/>
    </font>
    <font>
      <sz val="18"/>
      <name val="Times New Roman"/>
      <family val="1"/>
    </font>
    <font>
      <sz val="18"/>
      <name val="Times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sz val="18"/>
      <name val="Times"/>
      <family val="1"/>
    </font>
    <font>
      <b/>
      <u val="single"/>
      <sz val="24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b/>
      <u val="single"/>
      <sz val="18"/>
      <color indexed="18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14"/>
      <color indexed="10"/>
      <name val="Arial"/>
      <family val="2"/>
    </font>
    <font>
      <i/>
      <u val="single"/>
      <sz val="14"/>
      <color indexed="10"/>
      <name val="Arial"/>
      <family val="2"/>
    </font>
    <font>
      <sz val="14"/>
      <color indexed="56"/>
      <name val="Arial"/>
      <family val="2"/>
    </font>
    <font>
      <b/>
      <sz val="14"/>
      <color indexed="10"/>
      <name val="Arial"/>
      <family val="2"/>
    </font>
    <font>
      <i/>
      <sz val="14"/>
      <color indexed="56"/>
      <name val="Arial"/>
      <family val="2"/>
    </font>
    <font>
      <b/>
      <sz val="24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2"/>
      <name val="Arial"/>
      <family val="2"/>
    </font>
    <font>
      <b/>
      <sz val="24"/>
      <color indexed="9"/>
      <name val="Arial"/>
      <family val="2"/>
    </font>
    <font>
      <sz val="14"/>
      <color indexed="12"/>
      <name val="Arial"/>
      <family val="2"/>
    </font>
    <font>
      <b/>
      <i/>
      <sz val="18"/>
      <name val="Times"/>
      <family val="1"/>
    </font>
    <font>
      <b/>
      <i/>
      <sz val="18"/>
      <color indexed="10"/>
      <name val="Times New Roman"/>
      <family val="1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i/>
      <sz val="14"/>
      <name val="Arial"/>
      <family val="2"/>
    </font>
    <font>
      <sz val="9"/>
      <name val="Geneva"/>
      <family val="0"/>
    </font>
    <font>
      <b/>
      <i/>
      <sz val="14"/>
      <name val="Arial"/>
      <family val="2"/>
    </font>
    <font>
      <sz val="10"/>
      <name val="Geneva"/>
      <family val="0"/>
    </font>
    <font>
      <u val="single"/>
      <sz val="9.3"/>
      <color indexed="12"/>
      <name val="Geneva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30"/>
      <name val="Arial"/>
      <family val="2"/>
    </font>
    <font>
      <b/>
      <i/>
      <sz val="14"/>
      <color indexed="3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rgb="FF0070C0"/>
      <name val="Arial"/>
      <family val="2"/>
    </font>
    <font>
      <b/>
      <i/>
      <sz val="14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0" borderId="2" applyNumberFormat="0" applyFill="0" applyAlignment="0" applyProtection="0"/>
    <xf numFmtId="0" fontId="0" fillId="27" borderId="3" applyNumberFormat="0" applyFont="0" applyAlignment="0" applyProtection="0"/>
    <xf numFmtId="0" fontId="84" fillId="28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59" fillId="0" borderId="0" applyFont="0" applyFill="0" applyBorder="0" applyAlignment="0" applyProtection="0"/>
    <xf numFmtId="0" fontId="8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26" borderId="4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32" borderId="9" applyNumberFormat="0" applyAlignment="0" applyProtection="0"/>
  </cellStyleXfs>
  <cellXfs count="248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/>
      <protection/>
    </xf>
    <xf numFmtId="0" fontId="28" fillId="0" borderId="0" xfId="0" applyFont="1" applyAlignment="1" applyProtection="1">
      <alignment horizontal="centerContinuous" vertical="center"/>
      <protection/>
    </xf>
    <xf numFmtId="0" fontId="2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172" fontId="30" fillId="0" borderId="0" xfId="44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175" fontId="20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174" fontId="20" fillId="0" borderId="20" xfId="0" applyNumberFormat="1" applyFont="1" applyFill="1" applyBorder="1" applyAlignment="1" applyProtection="1">
      <alignment horizontal="center" vertical="center"/>
      <protection/>
    </xf>
    <xf numFmtId="174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175" fontId="20" fillId="0" borderId="25" xfId="0" applyNumberFormat="1" applyFont="1" applyFill="1" applyBorder="1" applyAlignment="1" applyProtection="1">
      <alignment horizontal="center" vertical="center"/>
      <protection/>
    </xf>
    <xf numFmtId="174" fontId="20" fillId="0" borderId="25" xfId="0" applyNumberFormat="1" applyFont="1" applyFill="1" applyBorder="1" applyAlignment="1" applyProtection="1">
      <alignment horizontal="center" vertical="center"/>
      <protection/>
    </xf>
    <xf numFmtId="174" fontId="20" fillId="0" borderId="26" xfId="0" applyNumberFormat="1" applyFont="1" applyFill="1" applyBorder="1" applyAlignment="1" applyProtection="1">
      <alignment horizontal="center" vertical="center"/>
      <protection/>
    </xf>
    <xf numFmtId="0" fontId="20" fillId="0" borderId="27" xfId="0" applyFont="1" applyFill="1" applyBorder="1" applyAlignment="1" applyProtection="1">
      <alignment horizontal="center" vertical="center"/>
      <protection/>
    </xf>
    <xf numFmtId="0" fontId="19" fillId="0" borderId="28" xfId="0" applyFont="1" applyFill="1" applyBorder="1" applyAlignment="1" applyProtection="1">
      <alignment horizontal="center" vertical="center"/>
      <protection/>
    </xf>
    <xf numFmtId="175" fontId="20" fillId="0" borderId="29" xfId="0" applyNumberFormat="1" applyFont="1" applyFill="1" applyBorder="1" applyAlignment="1" applyProtection="1">
      <alignment horizontal="center" vertical="center"/>
      <protection/>
    </xf>
    <xf numFmtId="174" fontId="20" fillId="0" borderId="29" xfId="0" applyNumberFormat="1" applyFont="1" applyFill="1" applyBorder="1" applyAlignment="1" applyProtection="1">
      <alignment horizontal="center" vertical="center"/>
      <protection/>
    </xf>
    <xf numFmtId="174" fontId="20" fillId="0" borderId="30" xfId="0" applyNumberFormat="1" applyFont="1" applyFill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19" fillId="0" borderId="32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71" fontId="35" fillId="0" borderId="0" xfId="0" applyNumberFormat="1" applyFont="1" applyBorder="1" applyAlignment="1" applyProtection="1">
      <alignment horizontal="center" vertical="center"/>
      <protection/>
    </xf>
    <xf numFmtId="171" fontId="34" fillId="0" borderId="0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175" fontId="20" fillId="0" borderId="22" xfId="0" applyNumberFormat="1" applyFont="1" applyFill="1" applyBorder="1" applyAlignment="1" applyProtection="1">
      <alignment horizontal="center" vertical="center"/>
      <protection/>
    </xf>
    <xf numFmtId="175" fontId="2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 indent="1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19" fillId="0" borderId="35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horizontal="center" vertical="center"/>
      <protection/>
    </xf>
    <xf numFmtId="0" fontId="19" fillId="0" borderId="37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 indent="1"/>
      <protection/>
    </xf>
    <xf numFmtId="175" fontId="20" fillId="0" borderId="30" xfId="0" applyNumberFormat="1" applyFont="1" applyFill="1" applyBorder="1" applyAlignment="1" applyProtection="1">
      <alignment horizontal="center" vertical="center"/>
      <protection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0" fontId="31" fillId="0" borderId="0" xfId="0" applyFont="1" applyAlignment="1" applyProtection="1">
      <alignment horizontal="center" vertical="center"/>
      <protection/>
    </xf>
    <xf numFmtId="171" fontId="20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indent="1"/>
      <protection/>
    </xf>
    <xf numFmtId="0" fontId="38" fillId="0" borderId="0" xfId="0" applyFont="1" applyBorder="1" applyAlignment="1" applyProtection="1">
      <alignment horizontal="left" vertical="center" indent="1"/>
      <protection/>
    </xf>
    <xf numFmtId="0" fontId="37" fillId="0" borderId="0" xfId="0" applyFont="1" applyBorder="1" applyAlignment="1" applyProtection="1">
      <alignment horizontal="left" vertical="center" indent="1"/>
      <protection/>
    </xf>
    <xf numFmtId="0" fontId="35" fillId="0" borderId="0" xfId="0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19" fillId="0" borderId="18" xfId="0" applyFont="1" applyBorder="1" applyAlignment="1" applyProtection="1">
      <alignment vertical="center"/>
      <protection/>
    </xf>
    <xf numFmtId="14" fontId="20" fillId="0" borderId="0" xfId="0" applyNumberFormat="1" applyFont="1" applyBorder="1" applyAlignment="1" applyProtection="1">
      <alignment horizontal="left" vertical="center"/>
      <protection/>
    </xf>
    <xf numFmtId="175" fontId="33" fillId="0" borderId="26" xfId="0" applyNumberFormat="1" applyFont="1" applyFill="1" applyBorder="1" applyAlignment="1" applyProtection="1">
      <alignment horizontal="center" vertical="center"/>
      <protection/>
    </xf>
    <xf numFmtId="175" fontId="33" fillId="0" borderId="3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175" fontId="20" fillId="0" borderId="39" xfId="0" applyNumberFormat="1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right"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right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173" fontId="44" fillId="0" borderId="42" xfId="0" applyNumberFormat="1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14" fontId="44" fillId="0" borderId="42" xfId="0" applyNumberFormat="1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right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41" fillId="0" borderId="0" xfId="0" applyFont="1" applyAlignment="1" applyProtection="1">
      <alignment horizontal="right" vertical="center"/>
      <protection/>
    </xf>
    <xf numFmtId="173" fontId="44" fillId="0" borderId="0" xfId="0" applyNumberFormat="1" applyFont="1" applyBorder="1" applyAlignment="1" applyProtection="1">
      <alignment horizontal="center" vertical="center"/>
      <protection/>
    </xf>
    <xf numFmtId="14" fontId="44" fillId="0" borderId="0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21" fillId="0" borderId="0" xfId="48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18" fillId="0" borderId="0" xfId="0" applyFont="1" applyAlignment="1" applyProtection="1">
      <alignment horizontal="right" vertical="center" indent="3"/>
      <protection/>
    </xf>
    <xf numFmtId="0" fontId="53" fillId="33" borderId="0" xfId="0" applyFont="1" applyFill="1" applyAlignment="1" applyProtection="1">
      <alignment horizontal="center" vertical="center"/>
      <protection/>
    </xf>
    <xf numFmtId="173" fontId="96" fillId="33" borderId="25" xfId="0" applyNumberFormat="1" applyFont="1" applyFill="1" applyBorder="1" applyAlignment="1" applyProtection="1">
      <alignment horizontal="center" vertical="center"/>
      <protection locked="0"/>
    </xf>
    <xf numFmtId="171" fontId="97" fillId="33" borderId="25" xfId="0" applyNumberFormat="1" applyFont="1" applyFill="1" applyBorder="1" applyAlignment="1" applyProtection="1">
      <alignment horizontal="center" vertical="center"/>
      <protection locked="0"/>
    </xf>
    <xf numFmtId="10" fontId="97" fillId="33" borderId="25" xfId="61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 locked="0"/>
    </xf>
    <xf numFmtId="0" fontId="26" fillId="0" borderId="0" xfId="60" applyFont="1" applyFill="1" applyAlignment="1">
      <alignment horizontal="left" indent="1"/>
      <protection/>
    </xf>
    <xf numFmtId="170" fontId="26" fillId="0" borderId="0" xfId="60" applyNumberFormat="1" applyFont="1" applyFill="1">
      <alignment/>
      <protection/>
    </xf>
    <xf numFmtId="0" fontId="26" fillId="0" borderId="0" xfId="60" applyFont="1" applyFill="1">
      <alignment/>
      <protection/>
    </xf>
    <xf numFmtId="0" fontId="22" fillId="0" borderId="0" xfId="60" applyFont="1" applyFill="1" applyAlignment="1">
      <alignment horizontal="center" wrapText="1"/>
      <protection/>
    </xf>
    <xf numFmtId="0" fontId="56" fillId="34" borderId="43" xfId="60" applyFont="1" applyFill="1" applyBorder="1" applyAlignment="1">
      <alignment horizontal="center" vertical="center"/>
      <protection/>
    </xf>
    <xf numFmtId="170" fontId="56" fillId="34" borderId="43" xfId="60" applyNumberFormat="1" applyFont="1" applyFill="1" applyBorder="1" applyAlignment="1">
      <alignment horizontal="center" vertical="center"/>
      <protection/>
    </xf>
    <xf numFmtId="0" fontId="56" fillId="0" borderId="0" xfId="60" applyFont="1" applyFill="1" applyAlignment="1">
      <alignment horizontal="center"/>
      <protection/>
    </xf>
    <xf numFmtId="0" fontId="22" fillId="0" borderId="44" xfId="60" applyFont="1" applyFill="1" applyBorder="1" applyAlignment="1" applyProtection="1">
      <alignment horizontal="center" vertical="center"/>
      <protection/>
    </xf>
    <xf numFmtId="10" fontId="22" fillId="0" borderId="44" xfId="62" applyNumberFormat="1" applyFont="1" applyFill="1" applyBorder="1" applyAlignment="1" applyProtection="1">
      <alignment horizontal="center" vertical="center"/>
      <protection locked="0"/>
    </xf>
    <xf numFmtId="0" fontId="22" fillId="0" borderId="45" xfId="60" applyFont="1" applyFill="1" applyBorder="1" applyAlignment="1" applyProtection="1">
      <alignment horizontal="center" vertical="center"/>
      <protection/>
    </xf>
    <xf numFmtId="10" fontId="22" fillId="0" borderId="45" xfId="62" applyNumberFormat="1" applyFont="1" applyFill="1" applyBorder="1" applyAlignment="1" applyProtection="1">
      <alignment horizontal="center" vertical="center"/>
      <protection locked="0"/>
    </xf>
    <xf numFmtId="0" fontId="58" fillId="0" borderId="0" xfId="60" applyFont="1" applyFill="1" applyAlignment="1">
      <alignment horizontal="left" indent="1"/>
      <protection/>
    </xf>
    <xf numFmtId="0" fontId="22" fillId="0" borderId="46" xfId="60" applyFont="1" applyFill="1" applyBorder="1" applyAlignment="1" applyProtection="1">
      <alignment horizontal="center" vertical="center" wrapText="1"/>
      <protection/>
    </xf>
    <xf numFmtId="10" fontId="22" fillId="0" borderId="46" xfId="62" applyNumberFormat="1" applyFont="1" applyFill="1" applyBorder="1" applyAlignment="1" applyProtection="1">
      <alignment horizontal="center" vertical="center"/>
      <protection locked="0"/>
    </xf>
    <xf numFmtId="14" fontId="22" fillId="0" borderId="44" xfId="62" applyNumberFormat="1" applyFont="1" applyFill="1" applyBorder="1" applyAlignment="1" applyProtection="1">
      <alignment horizontal="center" vertical="center"/>
      <protection locked="0"/>
    </xf>
    <xf numFmtId="14" fontId="22" fillId="0" borderId="45" xfId="62" applyNumberFormat="1" applyFont="1" applyFill="1" applyBorder="1" applyAlignment="1" applyProtection="1">
      <alignment horizontal="center" vertical="center"/>
      <protection locked="0"/>
    </xf>
    <xf numFmtId="14" fontId="22" fillId="0" borderId="46" xfId="62" applyNumberFormat="1" applyFont="1" applyFill="1" applyBorder="1" applyAlignment="1" applyProtection="1">
      <alignment horizontal="center" vertical="center"/>
      <protection locked="0"/>
    </xf>
    <xf numFmtId="1" fontId="97" fillId="33" borderId="25" xfId="61" applyNumberFormat="1" applyFont="1" applyFill="1" applyBorder="1" applyAlignment="1" applyProtection="1">
      <alignment horizontal="center" vertical="center"/>
      <protection locked="0"/>
    </xf>
    <xf numFmtId="10" fontId="96" fillId="0" borderId="25" xfId="61" applyNumberFormat="1" applyFont="1" applyFill="1" applyBorder="1" applyAlignment="1" applyProtection="1">
      <alignment horizontal="center" vertical="center"/>
      <protection/>
    </xf>
    <xf numFmtId="14" fontId="96" fillId="33" borderId="47" xfId="0" applyNumberFormat="1" applyFont="1" applyFill="1" applyBorder="1" applyAlignment="1" applyProtection="1">
      <alignment horizontal="center" vertical="center"/>
      <protection locked="0"/>
    </xf>
    <xf numFmtId="14" fontId="96" fillId="33" borderId="42" xfId="0" applyNumberFormat="1" applyFont="1" applyFill="1" applyBorder="1" applyAlignment="1" applyProtection="1">
      <alignment horizontal="center" vertical="center"/>
      <protection locked="0"/>
    </xf>
    <xf numFmtId="14" fontId="96" fillId="33" borderId="48" xfId="0" applyNumberFormat="1" applyFont="1" applyFill="1" applyBorder="1" applyAlignment="1" applyProtection="1">
      <alignment horizontal="center" vertical="center"/>
      <protection locked="0"/>
    </xf>
    <xf numFmtId="14" fontId="97" fillId="33" borderId="47" xfId="0" applyNumberFormat="1" applyFont="1" applyFill="1" applyBorder="1" applyAlignment="1" applyProtection="1">
      <alignment horizontal="center" vertical="center"/>
      <protection locked="0"/>
    </xf>
    <xf numFmtId="14" fontId="97" fillId="33" borderId="42" xfId="0" applyNumberFormat="1" applyFont="1" applyFill="1" applyBorder="1" applyAlignment="1" applyProtection="1">
      <alignment horizontal="center" vertical="center"/>
      <protection locked="0"/>
    </xf>
    <xf numFmtId="14" fontId="97" fillId="33" borderId="48" xfId="0" applyNumberFormat="1" applyFont="1" applyFill="1" applyBorder="1" applyAlignment="1" applyProtection="1">
      <alignment horizontal="center" vertical="center"/>
      <protection locked="0"/>
    </xf>
    <xf numFmtId="0" fontId="21" fillId="0" borderId="47" xfId="48" applyFont="1" applyBorder="1" applyAlignment="1" applyProtection="1">
      <alignment horizontal="center" vertical="center"/>
      <protection locked="0"/>
    </xf>
    <xf numFmtId="0" fontId="21" fillId="0" borderId="42" xfId="48" applyFont="1" applyBorder="1" applyAlignment="1" applyProtection="1">
      <alignment horizontal="center" vertical="center"/>
      <protection locked="0"/>
    </xf>
    <xf numFmtId="0" fontId="21" fillId="0" borderId="48" xfId="48" applyFont="1" applyBorder="1" applyAlignment="1" applyProtection="1">
      <alignment horizontal="center" vertical="center"/>
      <protection locked="0"/>
    </xf>
    <xf numFmtId="0" fontId="46" fillId="35" borderId="49" xfId="48" applyFont="1" applyFill="1" applyBorder="1" applyAlignment="1" applyProtection="1">
      <alignment horizontal="center" vertical="center"/>
      <protection locked="0"/>
    </xf>
    <xf numFmtId="0" fontId="46" fillId="35" borderId="50" xfId="48" applyFont="1" applyFill="1" applyBorder="1" applyAlignment="1" applyProtection="1">
      <alignment horizontal="center" vertical="center"/>
      <protection locked="0"/>
    </xf>
    <xf numFmtId="0" fontId="46" fillId="35" borderId="51" xfId="48" applyFont="1" applyFill="1" applyBorder="1" applyAlignment="1" applyProtection="1">
      <alignment horizontal="center" vertical="center"/>
      <protection locked="0"/>
    </xf>
    <xf numFmtId="0" fontId="49" fillId="36" borderId="47" xfId="48" applyFont="1" applyFill="1" applyBorder="1" applyAlignment="1" applyProtection="1">
      <alignment horizontal="center" vertical="center"/>
      <protection locked="0"/>
    </xf>
    <xf numFmtId="0" fontId="49" fillId="36" borderId="42" xfId="48" applyFont="1" applyFill="1" applyBorder="1" applyAlignment="1" applyProtection="1">
      <alignment horizontal="center" vertical="center"/>
      <protection locked="0"/>
    </xf>
    <xf numFmtId="0" fontId="49" fillId="36" borderId="48" xfId="48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right" vertical="center" indent="3"/>
      <protection/>
    </xf>
    <xf numFmtId="0" fontId="45" fillId="0" borderId="52" xfId="0" applyFont="1" applyBorder="1" applyAlignment="1" applyProtection="1">
      <alignment horizontal="right" vertical="center" indent="3"/>
      <protection/>
    </xf>
    <xf numFmtId="171" fontId="20" fillId="0" borderId="53" xfId="0" applyNumberFormat="1" applyFont="1" applyBorder="1" applyAlignment="1" applyProtection="1">
      <alignment horizontal="center" vertical="center"/>
      <protection/>
    </xf>
    <xf numFmtId="171" fontId="20" fillId="0" borderId="54" xfId="0" applyNumberFormat="1" applyFont="1" applyBorder="1" applyAlignment="1" applyProtection="1">
      <alignment horizontal="center" vertical="center"/>
      <protection/>
    </xf>
    <xf numFmtId="0" fontId="35" fillId="0" borderId="31" xfId="0" applyFont="1" applyBorder="1" applyAlignment="1" applyProtection="1">
      <alignment horizontal="center" vertical="center" wrapText="1"/>
      <protection/>
    </xf>
    <xf numFmtId="0" fontId="33" fillId="0" borderId="55" xfId="0" applyFont="1" applyBorder="1" applyAlignment="1" applyProtection="1">
      <alignment horizontal="center" vertical="center"/>
      <protection/>
    </xf>
    <xf numFmtId="0" fontId="33" fillId="0" borderId="56" xfId="0" applyFont="1" applyBorder="1" applyAlignment="1" applyProtection="1">
      <alignment horizontal="center" vertical="center"/>
      <protection/>
    </xf>
    <xf numFmtId="0" fontId="33" fillId="0" borderId="57" xfId="0" applyFont="1" applyBorder="1" applyAlignment="1" applyProtection="1">
      <alignment horizontal="center" vertical="center"/>
      <protection/>
    </xf>
    <xf numFmtId="0" fontId="33" fillId="0" borderId="58" xfId="0" applyFont="1" applyBorder="1" applyAlignment="1" applyProtection="1">
      <alignment horizontal="center" vertical="center"/>
      <protection/>
    </xf>
    <xf numFmtId="0" fontId="20" fillId="35" borderId="53" xfId="0" applyFont="1" applyFill="1" applyBorder="1" applyAlignment="1" applyProtection="1">
      <alignment horizontal="center" vertical="center"/>
      <protection/>
    </xf>
    <xf numFmtId="0" fontId="20" fillId="35" borderId="54" xfId="0" applyFont="1" applyFill="1" applyBorder="1" applyAlignment="1" applyProtection="1">
      <alignment horizontal="center" vertical="center"/>
      <protection/>
    </xf>
    <xf numFmtId="0" fontId="28" fillId="0" borderId="59" xfId="0" applyFont="1" applyFill="1" applyBorder="1" applyAlignment="1">
      <alignment horizontal="left" vertical="center" wrapText="1" indent="1"/>
    </xf>
    <xf numFmtId="0" fontId="28" fillId="0" borderId="60" xfId="0" applyFont="1" applyFill="1" applyBorder="1" applyAlignment="1">
      <alignment horizontal="left" vertical="center" wrapText="1" indent="1"/>
    </xf>
    <xf numFmtId="0" fontId="28" fillId="0" borderId="61" xfId="0" applyFont="1" applyFill="1" applyBorder="1" applyAlignment="1">
      <alignment horizontal="left" vertical="center" wrapText="1" indent="1"/>
    </xf>
    <xf numFmtId="0" fontId="28" fillId="0" borderId="0" xfId="0" applyFont="1" applyFill="1" applyBorder="1" applyAlignment="1">
      <alignment horizontal="left" vertical="center" wrapText="1" indent="1"/>
    </xf>
    <xf numFmtId="0" fontId="28" fillId="0" borderId="52" xfId="0" applyFont="1" applyFill="1" applyBorder="1" applyAlignment="1">
      <alignment horizontal="left" vertical="center" wrapText="1" indent="1"/>
    </xf>
    <xf numFmtId="0" fontId="33" fillId="0" borderId="62" xfId="0" applyFont="1" applyBorder="1" applyAlignment="1" applyProtection="1">
      <alignment horizontal="center" vertical="center"/>
      <protection/>
    </xf>
    <xf numFmtId="0" fontId="33" fillId="0" borderId="63" xfId="0" applyFont="1" applyBorder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horizontal="center" vertical="center"/>
      <protection/>
    </xf>
    <xf numFmtId="0" fontId="33" fillId="0" borderId="38" xfId="0" applyFont="1" applyBorder="1" applyAlignment="1" applyProtection="1">
      <alignment horizontal="center" vertical="center"/>
      <protection/>
    </xf>
    <xf numFmtId="0" fontId="20" fillId="37" borderId="53" xfId="0" applyFont="1" applyFill="1" applyBorder="1" applyAlignment="1" applyProtection="1">
      <alignment horizontal="center" vertical="center"/>
      <protection/>
    </xf>
    <xf numFmtId="0" fontId="20" fillId="37" borderId="64" xfId="0" applyFont="1" applyFill="1" applyBorder="1" applyAlignment="1" applyProtection="1">
      <alignment horizontal="center" vertical="center"/>
      <protection/>
    </xf>
    <xf numFmtId="0" fontId="20" fillId="37" borderId="54" xfId="0" applyFont="1" applyFill="1" applyBorder="1" applyAlignment="1" applyProtection="1">
      <alignment horizontal="center" vertical="center"/>
      <protection/>
    </xf>
    <xf numFmtId="0" fontId="20" fillId="35" borderId="31" xfId="0" applyFont="1" applyFill="1" applyBorder="1" applyAlignment="1" applyProtection="1">
      <alignment horizontal="center" vertical="center" wrapText="1"/>
      <protection/>
    </xf>
    <xf numFmtId="0" fontId="20" fillId="35" borderId="34" xfId="0" applyFont="1" applyFill="1" applyBorder="1" applyAlignment="1" applyProtection="1">
      <alignment horizontal="center" vertical="center" wrapText="1"/>
      <protection/>
    </xf>
    <xf numFmtId="0" fontId="20" fillId="35" borderId="33" xfId="0" applyFont="1" applyFill="1" applyBorder="1" applyAlignment="1" applyProtection="1">
      <alignment horizontal="center" vertical="center" wrapText="1"/>
      <protection/>
    </xf>
    <xf numFmtId="0" fontId="20" fillId="35" borderId="65" xfId="0" applyFont="1" applyFill="1" applyBorder="1" applyAlignment="1" applyProtection="1">
      <alignment horizontal="center" vertical="center" wrapText="1"/>
      <protection/>
    </xf>
    <xf numFmtId="0" fontId="38" fillId="0" borderId="32" xfId="0" applyFont="1" applyBorder="1" applyAlignment="1" applyProtection="1">
      <alignment horizontal="left" vertical="center" wrapText="1" indent="1"/>
      <protection/>
    </xf>
    <xf numFmtId="0" fontId="38" fillId="0" borderId="0" xfId="0" applyFont="1" applyBorder="1" applyAlignment="1" applyProtection="1">
      <alignment horizontal="left" vertical="center" wrapText="1" indent="1"/>
      <protection/>
    </xf>
    <xf numFmtId="0" fontId="17" fillId="0" borderId="0" xfId="48" applyFont="1" applyAlignment="1" applyProtection="1">
      <alignment horizontal="center" vertical="center"/>
      <protection locked="0"/>
    </xf>
    <xf numFmtId="173" fontId="29" fillId="0" borderId="66" xfId="0" applyNumberFormat="1" applyFont="1" applyFill="1" applyBorder="1" applyAlignment="1" applyProtection="1">
      <alignment horizontal="center" vertical="center"/>
      <protection/>
    </xf>
    <xf numFmtId="173" fontId="29" fillId="0" borderId="67" xfId="0" applyNumberFormat="1" applyFont="1" applyFill="1" applyBorder="1" applyAlignment="1" applyProtection="1">
      <alignment horizontal="center" vertical="center"/>
      <protection/>
    </xf>
    <xf numFmtId="171" fontId="20" fillId="0" borderId="0" xfId="0" applyNumberFormat="1" applyFont="1" applyFill="1" applyAlignment="1" applyProtection="1">
      <alignment horizontal="center" vertical="center"/>
      <protection/>
    </xf>
    <xf numFmtId="0" fontId="21" fillId="38" borderId="68" xfId="0" applyFont="1" applyFill="1" applyBorder="1" applyAlignment="1" applyProtection="1">
      <alignment horizontal="center" vertical="center" wrapText="1"/>
      <protection/>
    </xf>
    <xf numFmtId="0" fontId="21" fillId="38" borderId="31" xfId="0" applyFont="1" applyFill="1" applyBorder="1" applyAlignment="1" applyProtection="1">
      <alignment horizontal="center" vertical="center" wrapText="1"/>
      <protection/>
    </xf>
    <xf numFmtId="0" fontId="21" fillId="38" borderId="69" xfId="0" applyFont="1" applyFill="1" applyBorder="1" applyAlignment="1" applyProtection="1">
      <alignment horizontal="center" vertical="center" wrapText="1"/>
      <protection/>
    </xf>
    <xf numFmtId="0" fontId="21" fillId="38" borderId="33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center" vertical="center"/>
      <protection/>
    </xf>
    <xf numFmtId="0" fontId="33" fillId="0" borderId="40" xfId="0" applyFont="1" applyBorder="1" applyAlignment="1" applyProtection="1">
      <alignment horizontal="center" vertical="center"/>
      <protection/>
    </xf>
    <xf numFmtId="0" fontId="33" fillId="0" borderId="70" xfId="0" applyFont="1" applyBorder="1" applyAlignment="1" applyProtection="1">
      <alignment horizontal="center" vertical="center"/>
      <protection/>
    </xf>
    <xf numFmtId="0" fontId="20" fillId="35" borderId="64" xfId="0" applyFont="1" applyFill="1" applyBorder="1" applyAlignment="1" applyProtection="1">
      <alignment horizontal="center" vertical="center"/>
      <protection/>
    </xf>
    <xf numFmtId="0" fontId="25" fillId="0" borderId="31" xfId="0" applyFont="1" applyFill="1" applyBorder="1" applyAlignment="1" applyProtection="1">
      <alignment horizontal="center" vertical="center" wrapText="1"/>
      <protection/>
    </xf>
    <xf numFmtId="0" fontId="25" fillId="0" borderId="34" xfId="0" applyFont="1" applyFill="1" applyBorder="1" applyAlignment="1" applyProtection="1">
      <alignment horizontal="center" vertical="center" wrapText="1"/>
      <protection/>
    </xf>
    <xf numFmtId="14" fontId="25" fillId="0" borderId="33" xfId="0" applyNumberFormat="1" applyFont="1" applyFill="1" applyBorder="1" applyAlignment="1" applyProtection="1">
      <alignment horizontal="center" vertical="center" wrapText="1"/>
      <protection/>
    </xf>
    <xf numFmtId="14" fontId="25" fillId="0" borderId="65" xfId="0" applyNumberFormat="1" applyFont="1" applyFill="1" applyBorder="1" applyAlignment="1" applyProtection="1">
      <alignment horizontal="center" vertical="center" wrapText="1"/>
      <protection/>
    </xf>
    <xf numFmtId="0" fontId="33" fillId="0" borderId="71" xfId="0" applyFont="1" applyBorder="1" applyAlignment="1" applyProtection="1">
      <alignment horizontal="center" vertical="center"/>
      <protection/>
    </xf>
    <xf numFmtId="0" fontId="33" fillId="0" borderId="27" xfId="0" applyFont="1" applyBorder="1" applyAlignment="1" applyProtection="1">
      <alignment horizontal="center" vertical="center"/>
      <protection/>
    </xf>
    <xf numFmtId="0" fontId="33" fillId="0" borderId="72" xfId="0" applyFont="1" applyBorder="1" applyAlignment="1" applyProtection="1">
      <alignment horizontal="center" vertical="center"/>
      <protection/>
    </xf>
    <xf numFmtId="0" fontId="25" fillId="0" borderId="73" xfId="0" applyFont="1" applyFill="1" applyBorder="1" applyAlignment="1" applyProtection="1">
      <alignment horizontal="center" vertical="center" wrapText="1"/>
      <protection/>
    </xf>
    <xf numFmtId="0" fontId="25" fillId="0" borderId="74" xfId="0" applyFont="1" applyFill="1" applyBorder="1" applyAlignment="1" applyProtection="1">
      <alignment horizontal="center" vertical="center" wrapText="1"/>
      <protection/>
    </xf>
    <xf numFmtId="14" fontId="25" fillId="0" borderId="75" xfId="0" applyNumberFormat="1" applyFont="1" applyFill="1" applyBorder="1" applyAlignment="1" applyProtection="1">
      <alignment horizontal="center" vertical="center" wrapText="1"/>
      <protection/>
    </xf>
    <xf numFmtId="14" fontId="25" fillId="0" borderId="76" xfId="0" applyNumberFormat="1" applyFont="1" applyFill="1" applyBorder="1" applyAlignment="1" applyProtection="1">
      <alignment horizontal="center" vertical="center" wrapText="1"/>
      <protection/>
    </xf>
    <xf numFmtId="0" fontId="21" fillId="39" borderId="68" xfId="0" applyFont="1" applyFill="1" applyBorder="1" applyAlignment="1" applyProtection="1">
      <alignment horizontal="center" vertical="center" wrapText="1"/>
      <protection/>
    </xf>
    <xf numFmtId="0" fontId="21" fillId="39" borderId="31" xfId="0" applyFont="1" applyFill="1" applyBorder="1" applyAlignment="1" applyProtection="1">
      <alignment horizontal="center" vertical="center" wrapText="1"/>
      <protection/>
    </xf>
    <xf numFmtId="0" fontId="21" fillId="39" borderId="34" xfId="0" applyFont="1" applyFill="1" applyBorder="1" applyAlignment="1" applyProtection="1">
      <alignment horizontal="center" vertical="center" wrapText="1"/>
      <protection/>
    </xf>
    <xf numFmtId="0" fontId="21" fillId="39" borderId="69" xfId="0" applyFont="1" applyFill="1" applyBorder="1" applyAlignment="1" applyProtection="1">
      <alignment horizontal="center" vertical="center" wrapText="1"/>
      <protection/>
    </xf>
    <xf numFmtId="0" fontId="21" fillId="39" borderId="33" xfId="0" applyFont="1" applyFill="1" applyBorder="1" applyAlignment="1" applyProtection="1">
      <alignment horizontal="center" vertical="center" wrapText="1"/>
      <protection/>
    </xf>
    <xf numFmtId="0" fontId="21" fillId="39" borderId="65" xfId="0" applyFont="1" applyFill="1" applyBorder="1" applyAlignment="1" applyProtection="1">
      <alignment horizontal="center" vertical="center" wrapText="1"/>
      <protection/>
    </xf>
    <xf numFmtId="0" fontId="33" fillId="0" borderId="77" xfId="0" applyFont="1" applyBorder="1" applyAlignment="1" applyProtection="1">
      <alignment horizontal="center" vertical="center"/>
      <protection/>
    </xf>
    <xf numFmtId="0" fontId="20" fillId="35" borderId="68" xfId="0" applyFont="1" applyFill="1" applyBorder="1" applyAlignment="1" applyProtection="1">
      <alignment horizontal="center" vertical="center" wrapText="1"/>
      <protection/>
    </xf>
    <xf numFmtId="0" fontId="20" fillId="35" borderId="69" xfId="0" applyFont="1" applyFill="1" applyBorder="1" applyAlignment="1" applyProtection="1">
      <alignment horizontal="center" vertical="center" wrapText="1"/>
      <protection/>
    </xf>
    <xf numFmtId="0" fontId="33" fillId="0" borderId="78" xfId="0" applyFont="1" applyBorder="1" applyAlignment="1" applyProtection="1">
      <alignment horizontal="center" vertical="center"/>
      <protection/>
    </xf>
    <xf numFmtId="0" fontId="33" fillId="0" borderId="62" xfId="0" applyFont="1" applyBorder="1" applyAlignment="1" applyProtection="1">
      <alignment horizontal="center" vertical="center" wrapText="1"/>
      <protection/>
    </xf>
    <xf numFmtId="0" fontId="33" fillId="0" borderId="63" xfId="0" applyFont="1" applyBorder="1" applyAlignment="1" applyProtection="1">
      <alignment horizontal="center" vertical="center" wrapText="1"/>
      <protection/>
    </xf>
    <xf numFmtId="0" fontId="33" fillId="0" borderId="28" xfId="0" applyFont="1" applyBorder="1" applyAlignment="1" applyProtection="1">
      <alignment horizontal="center" vertical="center"/>
      <protection/>
    </xf>
    <xf numFmtId="14" fontId="33" fillId="0" borderId="0" xfId="0" applyNumberFormat="1" applyFont="1" applyBorder="1" applyAlignment="1" applyProtection="1">
      <alignment horizontal="left" vertical="center"/>
      <protection/>
    </xf>
    <xf numFmtId="14" fontId="33" fillId="0" borderId="79" xfId="0" applyNumberFormat="1" applyFont="1" applyBorder="1" applyAlignment="1" applyProtection="1">
      <alignment horizontal="left" vertical="center"/>
      <protection/>
    </xf>
    <xf numFmtId="171" fontId="20" fillId="0" borderId="64" xfId="0" applyNumberFormat="1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22" fillId="0" borderId="0" xfId="60" applyFont="1" applyFill="1" applyAlignment="1">
      <alignment horizontal="center" wrapText="1"/>
      <protection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3" xfId="46"/>
    <cellStyle name="Insatisfaisant" xfId="47"/>
    <cellStyle name="Hyperlink" xfId="48"/>
    <cellStyle name="Lien hypertexte 2" xfId="49"/>
    <cellStyle name="Lien hypertexte 3" xfId="50"/>
    <cellStyle name="Followed Hyperlink" xfId="51"/>
    <cellStyle name="Comma" xfId="52"/>
    <cellStyle name="Comma [0]" xfId="53"/>
    <cellStyle name="Currency" xfId="54"/>
    <cellStyle name="Currency [0]" xfId="55"/>
    <cellStyle name="Monétaire 2" xfId="56"/>
    <cellStyle name="Neutre" xfId="57"/>
    <cellStyle name="Normal 2" xfId="58"/>
    <cellStyle name="Normal 3" xfId="59"/>
    <cellStyle name="Normal_valeur pt d'indice au 1_9" xfId="60"/>
    <cellStyle name="Percent" xfId="61"/>
    <cellStyle name="Pourcentage 2" xfId="62"/>
    <cellStyle name="Pourcentage 3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dxfs count="16">
    <dxf>
      <fill>
        <patternFill>
          <bgColor indexed="4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228600</xdr:colOff>
      <xdr:row>3</xdr:row>
      <xdr:rowOff>47625</xdr:rowOff>
    </xdr:from>
    <xdr:to>
      <xdr:col>12</xdr:col>
      <xdr:colOff>152400</xdr:colOff>
      <xdr:row>7</xdr:row>
      <xdr:rowOff>238125</xdr:rowOff>
    </xdr:to>
    <xdr:pic>
      <xdr:nvPicPr>
        <xdr:cNvPr id="1" name="Picture 1" descr="b coul ombré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9772650" y="466725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5</xdr:row>
      <xdr:rowOff>38100</xdr:rowOff>
    </xdr:from>
    <xdr:to>
      <xdr:col>9</xdr:col>
      <xdr:colOff>438150</xdr:colOff>
      <xdr:row>7</xdr:row>
      <xdr:rowOff>114300</xdr:rowOff>
    </xdr:to>
    <xdr:pic>
      <xdr:nvPicPr>
        <xdr:cNvPr id="2" name="Picture 2" descr="U coul ombr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984509">
          <a:off x="7800975" y="790575"/>
          <a:ext cx="714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914400</xdr:colOff>
      <xdr:row>10</xdr:row>
      <xdr:rowOff>247650</xdr:rowOff>
    </xdr:from>
    <xdr:to>
      <xdr:col>10</xdr:col>
      <xdr:colOff>133350</xdr:colOff>
      <xdr:row>17</xdr:row>
      <xdr:rowOff>66675</xdr:rowOff>
    </xdr:to>
    <xdr:pic>
      <xdr:nvPicPr>
        <xdr:cNvPr id="1" name="Picture 1" descr="b coul ombré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7991475" y="2819400"/>
          <a:ext cx="16192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9</xdr:row>
      <xdr:rowOff>38100</xdr:rowOff>
    </xdr:from>
    <xdr:to>
      <xdr:col>9</xdr:col>
      <xdr:colOff>800100</xdr:colOff>
      <xdr:row>16</xdr:row>
      <xdr:rowOff>9525</xdr:rowOff>
    </xdr:to>
    <xdr:pic>
      <xdr:nvPicPr>
        <xdr:cNvPr id="1" name="Picture 1" descr="b coul ombré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18121">
          <a:off x="7620000" y="2381250"/>
          <a:ext cx="16002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1162050</xdr:colOff>
      <xdr:row>9</xdr:row>
      <xdr:rowOff>228600</xdr:rowOff>
    </xdr:from>
    <xdr:to>
      <xdr:col>10</xdr:col>
      <xdr:colOff>381000</xdr:colOff>
      <xdr:row>16</xdr:row>
      <xdr:rowOff>114300</xdr:rowOff>
    </xdr:to>
    <xdr:pic>
      <xdr:nvPicPr>
        <xdr:cNvPr id="1" name="Picture 2" descr="b coul ombré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8239125" y="2571750"/>
          <a:ext cx="16192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10</xdr:row>
      <xdr:rowOff>200025</xdr:rowOff>
    </xdr:from>
    <xdr:to>
      <xdr:col>9</xdr:col>
      <xdr:colOff>238125</xdr:colOff>
      <xdr:row>17</xdr:row>
      <xdr:rowOff>19050</xdr:rowOff>
    </xdr:to>
    <xdr:pic>
      <xdr:nvPicPr>
        <xdr:cNvPr id="1" name="Picture 1" descr="b coul ombré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6915150" y="2771775"/>
          <a:ext cx="16002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10</xdr:row>
      <xdr:rowOff>247650</xdr:rowOff>
    </xdr:from>
    <xdr:to>
      <xdr:col>9</xdr:col>
      <xdr:colOff>1066800</xdr:colOff>
      <xdr:row>17</xdr:row>
      <xdr:rowOff>66675</xdr:rowOff>
    </xdr:to>
    <xdr:pic>
      <xdr:nvPicPr>
        <xdr:cNvPr id="1" name="Picture 1" descr="b coul ombré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7743825" y="2819400"/>
          <a:ext cx="16002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9</xdr:row>
      <xdr:rowOff>180975</xdr:rowOff>
    </xdr:from>
    <xdr:to>
      <xdr:col>9</xdr:col>
      <xdr:colOff>485775</xdr:colOff>
      <xdr:row>16</xdr:row>
      <xdr:rowOff>0</xdr:rowOff>
    </xdr:to>
    <xdr:pic>
      <xdr:nvPicPr>
        <xdr:cNvPr id="1" name="Picture 1" descr="b coul ombré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600000">
          <a:off x="7162800" y="2524125"/>
          <a:ext cx="16002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11</xdr:row>
      <xdr:rowOff>171450</xdr:rowOff>
    </xdr:from>
    <xdr:to>
      <xdr:col>7</xdr:col>
      <xdr:colOff>1390650</xdr:colOff>
      <xdr:row>15</xdr:row>
      <xdr:rowOff>66675</xdr:rowOff>
    </xdr:to>
    <xdr:pic>
      <xdr:nvPicPr>
        <xdr:cNvPr id="1" name="Picture 1" descr="b coul omb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615779">
          <a:off x="9429750" y="3429000"/>
          <a:ext cx="1000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27</xdr:row>
      <xdr:rowOff>171450</xdr:rowOff>
    </xdr:from>
    <xdr:to>
      <xdr:col>7</xdr:col>
      <xdr:colOff>1390650</xdr:colOff>
      <xdr:row>31</xdr:row>
      <xdr:rowOff>66675</xdr:rowOff>
    </xdr:to>
    <xdr:pic>
      <xdr:nvPicPr>
        <xdr:cNvPr id="2" name="Picture 1" descr="b coul omb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615779">
          <a:off x="9429750" y="8181975"/>
          <a:ext cx="1000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3</xdr:row>
      <xdr:rowOff>57150</xdr:rowOff>
    </xdr:from>
    <xdr:to>
      <xdr:col>6</xdr:col>
      <xdr:colOff>561975</xdr:colOff>
      <xdr:row>11</xdr:row>
      <xdr:rowOff>28575</xdr:rowOff>
    </xdr:to>
    <xdr:pic>
      <xdr:nvPicPr>
        <xdr:cNvPr id="1" name="Picture 1" descr="b coul omb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615779">
          <a:off x="6524625" y="647700"/>
          <a:ext cx="20383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trick\Traitements\Etude%20de%20cas\ReclassementLAPE%20Christine%20El%20BA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à mettre à jour"/>
      <sheetName val="Données"/>
      <sheetName val="Traitement"/>
      <sheetName val="plafonds et taux"/>
      <sheetName val="Données2"/>
      <sheetName val="Données3"/>
      <sheetName val="Données4"/>
      <sheetName val="Données5"/>
      <sheetName val="Traitement2"/>
      <sheetName val="Traitement3"/>
      <sheetName val="Traitement4"/>
      <sheetName val="Traitement5"/>
      <sheetName val="Indices"/>
      <sheetName val="Reclassement"/>
      <sheetName val="Zone 2 _ mi_temps"/>
      <sheetName val="Zone 3 _ mi_temps"/>
      <sheetName val="CalculID1"/>
      <sheetName val="Traitements bruts"/>
      <sheetName val="valeurs pt indice"/>
      <sheetName val="valeurs retenues PC"/>
      <sheetName val="ID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showGridLines="0" showRowColHeaders="0" tabSelected="1" zoomScale="120" zoomScaleNormal="120" zoomScalePageLayoutView="0" workbookViewId="0" topLeftCell="A1">
      <selection activeCell="B13" sqref="B13:H13"/>
    </sheetView>
  </sheetViews>
  <sheetFormatPr defaultColWidth="11.19921875" defaultRowHeight="15"/>
  <cols>
    <col min="1" max="1" width="4.3984375" style="99" customWidth="1"/>
    <col min="2" max="2" width="11.8984375" style="99" bestFit="1" customWidth="1"/>
    <col min="3" max="3" width="11.3984375" style="99" bestFit="1" customWidth="1"/>
    <col min="4" max="4" width="14.5" style="99" bestFit="1" customWidth="1"/>
    <col min="5" max="5" width="2.09765625" style="99" customWidth="1"/>
    <col min="6" max="6" width="13.8984375" style="99" customWidth="1"/>
    <col min="7" max="8" width="11" style="99" customWidth="1"/>
    <col min="9" max="9" width="4.59765625" style="99" customWidth="1"/>
    <col min="10" max="10" width="11" style="99" customWidth="1"/>
    <col min="11" max="11" width="4.3984375" style="99" customWidth="1"/>
    <col min="12" max="12" width="11" style="99" customWidth="1"/>
    <col min="13" max="13" width="4.3984375" style="99" customWidth="1"/>
    <col min="14" max="16384" width="11" style="99" customWidth="1"/>
  </cols>
  <sheetData>
    <row r="1" ht="7.5" customHeight="1"/>
    <row r="2" spans="2:11" s="100" customFormat="1" ht="18">
      <c r="B2" s="132" t="s">
        <v>21</v>
      </c>
      <c r="D2" s="102" t="s">
        <v>22</v>
      </c>
      <c r="F2" s="133">
        <v>55.5635</v>
      </c>
      <c r="G2" s="103" t="s">
        <v>19</v>
      </c>
      <c r="H2" s="157">
        <v>40543</v>
      </c>
      <c r="I2" s="158"/>
      <c r="J2" s="159"/>
      <c r="K2" s="136" t="s">
        <v>53</v>
      </c>
    </row>
    <row r="3" spans="2:10" s="100" customFormat="1" ht="7.5" customHeight="1">
      <c r="B3" s="101"/>
      <c r="D3" s="104"/>
      <c r="E3" s="105"/>
      <c r="F3" s="106"/>
      <c r="G3" s="107"/>
      <c r="H3" s="108"/>
      <c r="I3" s="108"/>
      <c r="J3" s="108"/>
    </row>
    <row r="4" spans="1:10" ht="18.75" customHeight="1">
      <c r="A4" s="109"/>
      <c r="B4" s="110" t="s">
        <v>6</v>
      </c>
      <c r="C4" s="134">
        <v>192.8</v>
      </c>
      <c r="D4" s="110" t="s">
        <v>5</v>
      </c>
      <c r="E4" s="109"/>
      <c r="F4" s="134">
        <v>241</v>
      </c>
      <c r="G4" s="111" t="s">
        <v>7</v>
      </c>
      <c r="H4" s="160">
        <v>39447</v>
      </c>
      <c r="I4" s="161"/>
      <c r="J4" s="162"/>
    </row>
    <row r="5" spans="3:10" ht="7.5" customHeight="1">
      <c r="C5" s="112"/>
      <c r="D5" s="113"/>
      <c r="E5" s="100"/>
      <c r="F5" s="114"/>
      <c r="G5" s="100"/>
      <c r="H5" s="115"/>
      <c r="I5" s="115"/>
      <c r="J5" s="115"/>
    </row>
    <row r="6" spans="7:9" ht="18">
      <c r="G6" s="115"/>
      <c r="H6" s="115"/>
      <c r="I6" s="115"/>
    </row>
    <row r="7" spans="4:10" ht="18.75">
      <c r="D7" s="110" t="s">
        <v>46</v>
      </c>
      <c r="E7" s="114"/>
      <c r="F7" s="156">
        <f>LOOKUP(H7,'Retenues PC'!B6:B62,'Retenues PC'!C6:C62)</f>
        <v>0.0954</v>
      </c>
      <c r="G7" s="111" t="s">
        <v>65</v>
      </c>
      <c r="H7" s="155">
        <v>2015</v>
      </c>
      <c r="I7" s="115"/>
      <c r="J7" s="115"/>
    </row>
    <row r="8" spans="1:16" s="116" customFormat="1" ht="21" customHeight="1">
      <c r="A8" s="99"/>
      <c r="B8" s="99"/>
      <c r="C8" s="112"/>
      <c r="D8" s="113"/>
      <c r="E8" s="100"/>
      <c r="F8" s="114"/>
      <c r="G8" s="100"/>
      <c r="H8" s="115"/>
      <c r="I8" s="115"/>
      <c r="J8" s="115"/>
      <c r="K8" s="99"/>
      <c r="L8" s="99"/>
      <c r="M8" s="99"/>
      <c r="N8" s="99"/>
      <c r="O8" s="99"/>
      <c r="P8" s="99"/>
    </row>
    <row r="9" spans="2:6" ht="15.75">
      <c r="B9" s="117" t="s">
        <v>25</v>
      </c>
      <c r="D9" s="109"/>
      <c r="F9" s="137"/>
    </row>
    <row r="10" spans="1:16" s="118" customFormat="1" ht="30" customHeight="1">
      <c r="A10" s="99"/>
      <c r="B10" s="99"/>
      <c r="C10" s="99"/>
      <c r="D10" s="10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39.75" customHeight="1">
      <c r="A11" s="116"/>
      <c r="B11" s="163" t="s">
        <v>23</v>
      </c>
      <c r="C11" s="164"/>
      <c r="D11" s="164"/>
      <c r="E11" s="164"/>
      <c r="F11" s="164"/>
      <c r="G11" s="164"/>
      <c r="H11" s="165"/>
      <c r="I11" s="119"/>
      <c r="J11" s="163" t="s">
        <v>30</v>
      </c>
      <c r="K11" s="164"/>
      <c r="L11" s="165"/>
      <c r="M11" s="116"/>
      <c r="N11" s="116"/>
      <c r="O11" s="116"/>
      <c r="P11" s="116"/>
    </row>
    <row r="12" spans="1:16" s="122" customFormat="1" ht="15" customHeight="1">
      <c r="A12" s="99"/>
      <c r="B12" s="120"/>
      <c r="C12" s="120"/>
      <c r="D12" s="121"/>
      <c r="E12" s="121"/>
      <c r="F12" s="121"/>
      <c r="G12" s="121"/>
      <c r="H12" s="121"/>
      <c r="I12" s="121"/>
      <c r="J12" s="99"/>
      <c r="K12" s="99"/>
      <c r="L12" s="99"/>
      <c r="M12" s="99"/>
      <c r="N12" s="99"/>
      <c r="O12" s="99"/>
      <c r="P12" s="99"/>
    </row>
    <row r="13" spans="1:16" ht="39.75" customHeight="1">
      <c r="A13" s="118"/>
      <c r="B13" s="169" t="s">
        <v>8</v>
      </c>
      <c r="C13" s="170"/>
      <c r="D13" s="170"/>
      <c r="E13" s="170"/>
      <c r="F13" s="170"/>
      <c r="G13" s="170"/>
      <c r="H13" s="171"/>
      <c r="I13" s="119"/>
      <c r="J13" s="169" t="s">
        <v>30</v>
      </c>
      <c r="K13" s="170"/>
      <c r="L13" s="170"/>
      <c r="M13" s="118"/>
      <c r="N13" s="118"/>
      <c r="O13" s="118"/>
      <c r="P13" s="118"/>
    </row>
    <row r="14" spans="2:9" ht="15" customHeight="1" thickBot="1">
      <c r="B14" s="120"/>
      <c r="C14" s="123"/>
      <c r="D14" s="121"/>
      <c r="E14" s="121"/>
      <c r="F14" s="121"/>
      <c r="G14" s="121"/>
      <c r="H14" s="121"/>
      <c r="I14" s="121"/>
    </row>
    <row r="15" spans="1:16" ht="39.75" customHeight="1" thickBot="1">
      <c r="A15" s="122"/>
      <c r="B15" s="166" t="s">
        <v>24</v>
      </c>
      <c r="C15" s="167"/>
      <c r="D15" s="167"/>
      <c r="E15" s="167"/>
      <c r="F15" s="167"/>
      <c r="G15" s="167"/>
      <c r="H15" s="168"/>
      <c r="I15" s="124"/>
      <c r="J15" s="166" t="s">
        <v>30</v>
      </c>
      <c r="K15" s="167"/>
      <c r="L15" s="168"/>
      <c r="M15" s="122"/>
      <c r="N15" s="122"/>
      <c r="O15" s="122"/>
      <c r="P15" s="122"/>
    </row>
    <row r="16" ht="30" customHeight="1"/>
    <row r="17" spans="3:6" ht="18.75" customHeight="1">
      <c r="C17" s="172" t="s">
        <v>49</v>
      </c>
      <c r="D17" s="172"/>
      <c r="E17" s="173"/>
      <c r="F17" s="135">
        <v>0.9825</v>
      </c>
    </row>
    <row r="18" spans="3:5" ht="18.75" customHeight="1">
      <c r="C18" s="131"/>
      <c r="D18" s="131"/>
      <c r="E18" s="131"/>
    </row>
    <row r="19" spans="3:6" ht="18.75" customHeight="1">
      <c r="C19" s="172" t="s">
        <v>50</v>
      </c>
      <c r="D19" s="172"/>
      <c r="E19" s="173"/>
      <c r="F19" s="135">
        <v>0.075</v>
      </c>
    </row>
    <row r="20" spans="3:5" ht="18.75" customHeight="1">
      <c r="C20" s="131"/>
      <c r="D20" s="131"/>
      <c r="E20" s="131"/>
    </row>
    <row r="21" spans="3:6" ht="18.75" customHeight="1">
      <c r="C21" s="172" t="s">
        <v>54</v>
      </c>
      <c r="D21" s="172"/>
      <c r="E21" s="173"/>
      <c r="F21" s="135">
        <v>0.005</v>
      </c>
    </row>
    <row r="22" ht="30">
      <c r="D22" s="125"/>
    </row>
  </sheetData>
  <sheetProtection sheet="1" selectLockedCells="1"/>
  <mergeCells count="11">
    <mergeCell ref="C17:E17"/>
    <mergeCell ref="C19:E19"/>
    <mergeCell ref="C21:E21"/>
    <mergeCell ref="H2:J2"/>
    <mergeCell ref="H4:J4"/>
    <mergeCell ref="B11:H11"/>
    <mergeCell ref="B15:H15"/>
    <mergeCell ref="J15:L15"/>
    <mergeCell ref="J11:L11"/>
    <mergeCell ref="B13:H13"/>
    <mergeCell ref="J13:L13"/>
  </mergeCells>
  <hyperlinks>
    <hyperlink ref="J11:L11" location="'Zone 1 _ mi_temps'!A1" display="si mi-temps"/>
    <hyperlink ref="J13:L13" location="'Zone 2 _ mi_temps'!A1" display="si mi-temps"/>
    <hyperlink ref="B13:H13" location="'Zone 2 _ 1_100'!A1" display="Zone 2 : indemnité de résidence à 1%"/>
    <hyperlink ref="J15:L15" location="'Zone 3 _ mi_temps'!A1" display="si mi-temps"/>
    <hyperlink ref="B15:H15" location="'Zone 3 _ 0_100'!A1" display="Zone 3 : indemnité de résidence à 0%"/>
    <hyperlink ref="B11:H11" location="'Zone 1 _ 3_100 '!A1" display="Zone 1 : indemnité de résidence à 3%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50" verticalDpi="15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11.19921875" defaultRowHeight="15"/>
  <cols>
    <col min="1" max="1" width="2.59765625" style="22" customWidth="1"/>
    <col min="2" max="2" width="8.09765625" style="22" customWidth="1"/>
    <col min="3" max="3" width="8.59765625" style="22" customWidth="1"/>
    <col min="4" max="4" width="12.59765625" style="22" customWidth="1"/>
    <col min="5" max="5" width="8.59765625" style="22" customWidth="1"/>
    <col min="6" max="7" width="12.59765625" style="22" customWidth="1"/>
    <col min="8" max="8" width="8.59765625" style="22" customWidth="1"/>
    <col min="9" max="10" width="12.59765625" style="22" customWidth="1"/>
    <col min="11" max="11" width="8.5" style="22" customWidth="1"/>
    <col min="12" max="12" width="8.8984375" style="22" customWidth="1"/>
    <col min="13" max="14" width="11" style="22" customWidth="1"/>
    <col min="15" max="15" width="11.09765625" style="22" customWidth="1"/>
    <col min="16" max="16384" width="11" style="22" customWidth="1"/>
  </cols>
  <sheetData>
    <row r="2" spans="2:10" ht="24" customHeight="1">
      <c r="B2" s="201" t="s">
        <v>33</v>
      </c>
      <c r="C2" s="201"/>
      <c r="D2" s="74"/>
      <c r="E2" s="74"/>
      <c r="F2" s="74"/>
      <c r="G2" s="74"/>
      <c r="H2" s="74"/>
      <c r="I2" s="74"/>
      <c r="J2" s="74"/>
    </row>
    <row r="3" ht="10.5" customHeight="1" thickBot="1">
      <c r="B3" s="23"/>
    </row>
    <row r="4" spans="2:11" s="24" customFormat="1" ht="36" customHeight="1" thickTop="1">
      <c r="B4" s="205" t="s">
        <v>43</v>
      </c>
      <c r="C4" s="206"/>
      <c r="D4" s="206"/>
      <c r="E4" s="206"/>
      <c r="F4" s="206"/>
      <c r="G4" s="206"/>
      <c r="H4" s="206"/>
      <c r="I4" s="206"/>
      <c r="J4" s="213" t="s">
        <v>55</v>
      </c>
      <c r="K4" s="214"/>
    </row>
    <row r="5" spans="2:11" s="24" customFormat="1" ht="36" customHeight="1" thickBot="1">
      <c r="B5" s="207"/>
      <c r="C5" s="208"/>
      <c r="D5" s="208"/>
      <c r="E5" s="208"/>
      <c r="F5" s="208"/>
      <c r="G5" s="208"/>
      <c r="H5" s="208"/>
      <c r="I5" s="208"/>
      <c r="J5" s="215">
        <f>Intro!H2</f>
        <v>40543</v>
      </c>
      <c r="K5" s="216"/>
    </row>
    <row r="6" spans="2:8" s="26" customFormat="1" ht="9.75" customHeight="1" thickTop="1">
      <c r="B6" s="25"/>
      <c r="C6" s="25"/>
      <c r="D6" s="25"/>
      <c r="E6" s="25"/>
      <c r="F6" s="25"/>
      <c r="G6" s="25"/>
      <c r="H6" s="25"/>
    </row>
    <row r="7" spans="2:12" s="28" customFormat="1" ht="18" customHeight="1">
      <c r="B7" s="27"/>
      <c r="D7" s="29" t="s">
        <v>4</v>
      </c>
      <c r="E7" s="202">
        <f>Intro!F2</f>
        <v>55.5635</v>
      </c>
      <c r="F7" s="203"/>
      <c r="G7" s="30"/>
      <c r="H7" s="209" t="s">
        <v>32</v>
      </c>
      <c r="I7" s="209"/>
      <c r="J7" s="209"/>
      <c r="K7" s="209"/>
      <c r="L7" s="75"/>
    </row>
    <row r="8" spans="2:11" s="28" customFormat="1" ht="18" customHeight="1">
      <c r="B8" s="27"/>
      <c r="D8" s="29" t="s">
        <v>2</v>
      </c>
      <c r="E8" s="204">
        <f>ROUNDDOWN(E7/12,2)</f>
        <v>4.63</v>
      </c>
      <c r="F8" s="204"/>
      <c r="G8" s="30"/>
      <c r="H8" s="209"/>
      <c r="I8" s="209"/>
      <c r="J8" s="209"/>
      <c r="K8" s="209"/>
    </row>
    <row r="9" spans="2:12" s="28" customFormat="1" ht="18" customHeight="1">
      <c r="B9" s="27"/>
      <c r="D9" s="29" t="s">
        <v>3</v>
      </c>
      <c r="E9" s="204">
        <f>ROUNDDOWN($E$7/12,2)+ROUNDDOWN($E$7/12,2)*0.03-ROUNDDOWN($E$7/12,2)*Intro!F7-(ROUNDDOWN($E$7/12,2)+ROUNDDOWN($E$7/12,2)*0.03)*(Intro!$F$17)*(Intro!$F$19)-(ROUNDDOWN($E$7/12,2)+ROUNDDOWN($E$7/12,2)*0.03)*(Intro!$F$17)*(Intro!$F$21)-(ROUNDDOWN($E$7/12,2)+ROUNDDOWN($E$7/12,2)*0.03-ROUNDDOWN($E$7/12,2)*Intro!$F$7-ROUNDDOWN($E$7/12,2)*0.03*0.05)*0.01</f>
        <v>3.9091599299999995</v>
      </c>
      <c r="F9" s="204"/>
      <c r="G9" s="30"/>
      <c r="H9" s="209"/>
      <c r="I9" s="209"/>
      <c r="J9" s="209"/>
      <c r="K9" s="209"/>
      <c r="L9" s="75"/>
    </row>
    <row r="10" spans="2:8" s="28" customFormat="1" ht="18" customHeight="1">
      <c r="B10" s="27"/>
      <c r="D10" s="77" t="s">
        <v>20</v>
      </c>
      <c r="E10" s="76"/>
      <c r="F10" s="76"/>
      <c r="G10" s="30"/>
      <c r="H10" s="79"/>
    </row>
    <row r="11" spans="1:12" s="28" customFormat="1" ht="22.5" customHeight="1" thickBot="1">
      <c r="A11" s="56"/>
      <c r="B11" s="56"/>
      <c r="C11" s="57"/>
      <c r="D11" s="57"/>
      <c r="E11" s="58"/>
      <c r="F11" s="59"/>
      <c r="G11" s="59"/>
      <c r="H11" s="60"/>
      <c r="I11" s="61"/>
      <c r="J11" s="61"/>
      <c r="K11" s="61"/>
      <c r="L11" s="56"/>
    </row>
    <row r="12" spans="1:12" s="33" customFormat="1" ht="19.5" customHeight="1" thickBot="1" thickTop="1">
      <c r="A12" s="22"/>
      <c r="B12" s="22"/>
      <c r="C12" s="181" t="s">
        <v>17</v>
      </c>
      <c r="D12" s="182"/>
      <c r="E12" s="56"/>
      <c r="F12" s="22"/>
      <c r="G12" s="22"/>
      <c r="H12" s="56"/>
      <c r="I12" s="22"/>
      <c r="J12" s="22"/>
      <c r="K12" s="78"/>
      <c r="L12" s="78"/>
    </row>
    <row r="13" spans="1:12" s="33" customFormat="1" ht="19.5" customHeight="1" thickTop="1">
      <c r="A13" s="28"/>
      <c r="B13" s="217" t="s">
        <v>13</v>
      </c>
      <c r="C13" s="190" t="s">
        <v>14</v>
      </c>
      <c r="D13" s="188" t="s">
        <v>15</v>
      </c>
      <c r="E13" s="28"/>
      <c r="F13" s="28"/>
      <c r="G13" s="28"/>
      <c r="H13" s="62"/>
      <c r="I13" s="28"/>
      <c r="J13" s="28"/>
      <c r="K13" s="79"/>
      <c r="L13" s="79"/>
    </row>
    <row r="14" spans="1:12" s="34" customFormat="1" ht="19.5" customHeight="1" thickBot="1">
      <c r="A14" s="63"/>
      <c r="B14" s="218"/>
      <c r="C14" s="191"/>
      <c r="D14" s="189"/>
      <c r="E14" s="63"/>
      <c r="F14" s="63"/>
      <c r="G14" s="63"/>
      <c r="H14" s="63"/>
      <c r="I14" s="63"/>
      <c r="J14" s="63"/>
      <c r="K14" s="63"/>
      <c r="L14" s="63"/>
    </row>
    <row r="15" spans="1:12" s="34" customFormat="1" ht="15.75" thickTop="1">
      <c r="A15" s="63"/>
      <c r="B15" s="37">
        <v>1</v>
      </c>
      <c r="C15" s="183" t="s">
        <v>47</v>
      </c>
      <c r="D15" s="183"/>
      <c r="E15" s="183"/>
      <c r="F15" s="184"/>
      <c r="G15" s="63"/>
      <c r="H15" s="63"/>
      <c r="I15" s="63"/>
      <c r="J15" s="63"/>
      <c r="K15" s="79"/>
      <c r="L15" s="79"/>
    </row>
    <row r="16" spans="1:12" ht="19.5" customHeight="1" thickBot="1">
      <c r="A16" s="63"/>
      <c r="B16" s="43">
        <v>2</v>
      </c>
      <c r="C16" s="185"/>
      <c r="D16" s="185"/>
      <c r="E16" s="186"/>
      <c r="F16" s="187"/>
      <c r="G16" s="63"/>
      <c r="H16" s="63"/>
      <c r="I16" s="63"/>
      <c r="J16" s="63"/>
      <c r="K16" s="63"/>
      <c r="L16" s="63"/>
    </row>
    <row r="17" spans="1:12" ht="19.5" customHeight="1" thickTop="1">
      <c r="A17" s="28"/>
      <c r="B17" s="43">
        <v>3</v>
      </c>
      <c r="C17" s="44">
        <f>Indices!F7</f>
        <v>432</v>
      </c>
      <c r="D17" s="65">
        <f>ROUNDDOWN($E$7*C17/12,2)+ROUNDDOWN($E$7*C17/12,2)*0.03-ROUNDDOWN($E$7*C17/12,2)*Intro!$F$7-(ROUNDDOWN($E$7*C17/12,2)+ROUNDDOWN($E$7*C17/12,2)*0.03)*Intro!$F$17*Intro!$F$19-(ROUNDDOWN($E$7*C17/12,2)+ROUNDDOWN($E$7*C17/12,2)*0.03)*Intro!$F$17*Intro!$F$21-(ROUNDDOWN($E$7*C17/12,2)+ROUNDDOWN($E$7*C17/12,2)*0.03-ROUNDDOWN($E$7*C17/12,2)*Intro!$F$7-ROUND($E$7*C17/12*0.03*0.05,2))*0.01-ROUND((($E$7*C17/12)*0.03)*0.05,2)</f>
        <v>1685.8584028799999</v>
      </c>
      <c r="E17" s="195" t="s">
        <v>40</v>
      </c>
      <c r="F17" s="195"/>
      <c r="G17" s="196"/>
      <c r="H17" s="63"/>
      <c r="I17" s="63"/>
      <c r="J17" s="63"/>
      <c r="K17" s="63"/>
      <c r="L17" s="79"/>
    </row>
    <row r="18" spans="2:11" ht="19.5" customHeight="1" thickBot="1">
      <c r="B18" s="43">
        <v>4</v>
      </c>
      <c r="C18" s="44">
        <f>Indices!F8</f>
        <v>445</v>
      </c>
      <c r="D18" s="65">
        <f>ROUNDDOWN($E$7*C18/12,2)+ROUNDDOWN($E$7*C18/12,2)*0.03-ROUNDDOWN($E$7*C18/12,2)*Intro!$F$7-(ROUNDDOWN($E$7*C18/12,2)+ROUNDDOWN($E$7*C18/12,2)*0.03)*Intro!$F$17*Intro!$F$19-(ROUNDDOWN($E$7*C18/12,2)+ROUNDDOWN($E$7*C18/12,2)*0.03)*Intro!$F$17*Intro!$F$21-(ROUNDDOWN($E$7*C18/12,2)+ROUNDDOWN($E$7*C18/12,2)*0.03-ROUNDDOWN($E$7*C18/12,2)*Intro!$F$7-ROUND($E$7*C18/12*0.03*0.05,2))*0.01-ROUND((($E$7*C18/12)*0.03)*0.05,2)</f>
        <v>1736.58747912</v>
      </c>
      <c r="E18" s="197"/>
      <c r="F18" s="197"/>
      <c r="G18" s="198"/>
      <c r="H18" s="63"/>
      <c r="I18" s="63"/>
      <c r="J18" s="63"/>
      <c r="K18" s="63"/>
    </row>
    <row r="19" spans="2:12" ht="19.5" customHeight="1" thickTop="1">
      <c r="B19" s="43">
        <v>5</v>
      </c>
      <c r="C19" s="44">
        <f>Indices!F9</f>
        <v>458</v>
      </c>
      <c r="D19" s="65">
        <f>ROUNDDOWN($E$7*C19/12,2)+ROUNDDOWN($E$7*C19/12,2)*0.03-ROUNDDOWN($E$7*C19/12,2)*Intro!$F$7-(ROUNDDOWN($E$7*C19/12,2)+ROUNDDOWN($E$7*C19/12,2)*0.03)*Intro!$F$17*Intro!$F$19-(ROUNDDOWN($E$7*C19/12,2)+ROUNDDOWN($E$7*C19/12,2)*0.03)*Intro!$F$17*Intro!$F$21-(ROUNDDOWN($E$7*C19/12,2)+ROUNDDOWN($E$7*C19/12,2)*0.03-ROUNDDOWN($E$7*C19/12,2)*Intro!$F$7-ROUND($E$7*C19/12*0.03*0.05,2))*0.01-ROUND((($E$7*C19/12)*0.03)*0.05,2)</f>
        <v>1787.3249983200003</v>
      </c>
      <c r="E19" s="178" t="s">
        <v>13</v>
      </c>
      <c r="F19" s="179" t="s">
        <v>14</v>
      </c>
      <c r="G19" s="188" t="s">
        <v>15</v>
      </c>
      <c r="H19" s="66" t="s">
        <v>16</v>
      </c>
      <c r="I19" s="84"/>
      <c r="J19" s="84"/>
      <c r="K19" s="84"/>
      <c r="L19" s="81"/>
    </row>
    <row r="20" spans="2:12" ht="19.5" customHeight="1" thickBot="1">
      <c r="B20" s="43">
        <v>6</v>
      </c>
      <c r="C20" s="44">
        <f>Indices!F10</f>
        <v>467</v>
      </c>
      <c r="D20" s="65">
        <f>ROUNDDOWN($E$7*C20/12,2)+ROUNDDOWN($E$7*C20/12,2)*0.03-ROUNDDOWN($E$7*C20/12,2)*Intro!$F$7-(ROUNDDOWN($E$7*C20/12,2)+ROUNDDOWN($E$7*C20/12,2)*0.03)*Intro!$F$17*Intro!$F$19-(ROUNDDOWN($E$7*C20/12,2)+ROUNDDOWN($E$7*C20/12,2)*0.03)*Intro!$F$17*Intro!$F$21-(ROUNDDOWN($E$7*C20/12,2)+ROUNDDOWN($E$7*C20/12,2)*0.03-ROUNDDOWN($E$7*C20/12,2)*Intro!$F$7-ROUND($E$7*C20/12*0.03*0.05,2))*0.01-ROUND((($E$7*C20/12)*0.03)*0.05,2)</f>
        <v>1822.4474126399998</v>
      </c>
      <c r="E20" s="219"/>
      <c r="F20" s="180"/>
      <c r="G20" s="189"/>
      <c r="H20" s="85" t="str">
        <f>"Retraite "&amp;Intro!F7*100&amp;" % du traitement brut"</f>
        <v>Retraite 9,54 % du traitement brut</v>
      </c>
      <c r="I20" s="71"/>
      <c r="J20" s="71"/>
      <c r="K20" s="71"/>
      <c r="L20" s="81"/>
    </row>
    <row r="21" spans="2:11" ht="19.5" customHeight="1" thickTop="1">
      <c r="B21" s="43">
        <v>7</v>
      </c>
      <c r="C21" s="44">
        <f>Indices!F11</f>
        <v>495</v>
      </c>
      <c r="D21" s="65">
        <f>ROUNDDOWN($E$7*C21/12,2)+ROUNDDOWN($E$7*C21/12,2)*0.03-ROUNDDOWN($E$7*C21/12,2)*Intro!$F$7-(ROUNDDOWN($E$7*C21/12,2)+ROUNDDOWN($E$7*C21/12,2)*0.03)*Intro!$F$17*Intro!$F$19-(ROUNDDOWN($E$7*C21/12,2)+ROUNDDOWN($E$7*C21/12,2)*0.03)*Intro!$F$17*Intro!$F$21-(ROUNDDOWN($E$7*C21/12,2)+ROUNDDOWN($E$7*C21/12,2)*0.03-ROUNDDOWN($E$7*C21/12,2)*Intro!$F$7-ROUND($E$7*C21/12*0.03*0.05,2))*0.01-ROUND((($E$7*C21/12)*0.03)*0.05,2)</f>
        <v>1931.7123890399996</v>
      </c>
      <c r="E21" s="67">
        <v>1</v>
      </c>
      <c r="F21" s="68">
        <f>Indices!I5</f>
        <v>495</v>
      </c>
      <c r="G21" s="64">
        <f>ROUNDDOWN($E$7*F21/12,2)+ROUNDDOWN($E$7*F21/12,2)*0.03-ROUNDDOWN($E$7*F21/12,2)*Intro!$F$7-(ROUNDDOWN($E$7*F21/12,2)+ROUNDDOWN($E$7*F21/12,2)*0.03)*Intro!$F$17*Intro!$F$19-(ROUNDDOWN($E$7*F21/12,2)+ROUNDDOWN($E$7*F21/12,2)*0.03)*Intro!$F$17*Intro!$F$21-(ROUNDDOWN($E$7*F21/12,2)+ROUNDDOWN($E$7*F21/12,2)*0.03-ROUNDDOWN($E$7*F21/12,2)*Intro!$F$7-ROUND($E$7*F21/12*0.03*0.05,2))*0.01-ROUND((($E$7*F21/12)*0.03)*0.05,2)</f>
        <v>1931.7123890399996</v>
      </c>
      <c r="H21" s="199" t="s">
        <v>44</v>
      </c>
      <c r="I21" s="200"/>
      <c r="J21" s="200"/>
      <c r="K21" s="200"/>
    </row>
    <row r="22" spans="2:11" ht="19.5" customHeight="1">
      <c r="B22" s="43">
        <v>8</v>
      </c>
      <c r="C22" s="44">
        <f>Indices!F12</f>
        <v>531</v>
      </c>
      <c r="D22" s="65">
        <f>ROUNDDOWN($E$7*C22/12,2)+ROUNDDOWN($E$7*C22/12,2)*0.03-ROUNDDOWN($E$7*C22/12,2)*Intro!$F$7-(ROUNDDOWN($E$7*C22/12,2)+ROUNDDOWN($E$7*C22/12,2)*0.03)*Intro!$F$17*Intro!$F$19-(ROUNDDOWN($E$7*C22/12,2)+ROUNDDOWN($E$7*C22/12,2)*0.03)*Intro!$F$17*Intro!$F$21-(ROUNDDOWN($E$7*C22/12,2)+ROUNDDOWN($E$7*C22/12,2)*0.03-ROUNDDOWN($E$7*C22/12,2)*Intro!$F$7-ROUND($E$7*C22/12*0.03*0.05,2))*0.01-ROUND((($E$7*C22/12)*0.03)*0.05,2)</f>
        <v>2072.2005892800003</v>
      </c>
      <c r="E22" s="69">
        <v>2</v>
      </c>
      <c r="F22" s="70">
        <f>Indices!I6</f>
        <v>560</v>
      </c>
      <c r="G22" s="65">
        <f>ROUNDDOWN($E$7*F22/12,2)+ROUNDDOWN($E$7*F22/12,2)*0.03-ROUNDDOWN($E$7*F22/12,2)*Intro!$F$7-(ROUNDDOWN($E$7*F22/12,2)+ROUNDDOWN($E$7*F22/12,2)*0.03)*Intro!$F$17*Intro!$F$19-(ROUNDDOWN($E$7*F22/12,2)+ROUNDDOWN($E$7*F22/12,2)*0.03)*Intro!$F$17*Intro!$F$21-(ROUNDDOWN($E$7*F22/12,2)+ROUNDDOWN($E$7*F22/12,2)*0.03-ROUNDDOWN($E$7*F22/12,2)*Intro!$F$7-ROUND($E$7*F22/12*0.03*0.05,2))*0.01-ROUND((($E$7*F22/12)*0.03)*0.05,2)</f>
        <v>2185.37465616</v>
      </c>
      <c r="H22" s="199"/>
      <c r="I22" s="200"/>
      <c r="J22" s="200"/>
      <c r="K22" s="200"/>
    </row>
    <row r="23" spans="2:11" ht="19.5" customHeight="1">
      <c r="B23" s="43">
        <v>9</v>
      </c>
      <c r="C23" s="44">
        <f>Indices!F13</f>
        <v>567</v>
      </c>
      <c r="D23" s="65">
        <f>ROUNDDOWN($E$7*C23/12,2)+ROUNDDOWN($E$7*C23/12,2)*0.03-ROUNDDOWN($E$7*C23/12,2)*Intro!$F$7-(ROUNDDOWN($E$7*C23/12,2)+ROUNDDOWN($E$7*C23/12,2)*0.03)*Intro!$F$17*Intro!$F$19-(ROUNDDOWN($E$7*C23/12,2)+ROUNDDOWN($E$7*C23/12,2)*0.03)*Intro!$F$17*Intro!$F$21-(ROUNDDOWN($E$7*C23/12,2)+ROUNDDOWN($E$7*C23/12,2)*0.03-ROUNDDOWN($E$7*C23/12,2)*Intro!$F$7-ROUND($E$7*C23/12*0.03*0.05,2))*0.01-ROUND((($E$7*C23/12)*0.03)*0.05,2)</f>
        <v>2212.68878952</v>
      </c>
      <c r="E23" s="69">
        <v>3</v>
      </c>
      <c r="F23" s="70">
        <f>Indices!I7</f>
        <v>601</v>
      </c>
      <c r="G23" s="65">
        <f>ROUNDDOWN($E$7*F23/12,2)+ROUNDDOWN($E$7*F23/12,2)*0.03-ROUNDDOWN($E$7*F23/12,2)*Intro!$F$7-(ROUNDDOWN($E$7*F23/12,2)+ROUNDDOWN($E$7*F23/12,2)*0.03)*Intro!$F$17*Intro!$F$19-(ROUNDDOWN($E$7*F23/12,2)+ROUNDDOWN($E$7*F23/12,2)*0.03)*Intro!$F$17*Intro!$F$21-(ROUNDDOWN($E$7*F23/12,2)+ROUNDDOWN($E$7*F23/12,2)*0.03-ROUNDDOWN($E$7*F23/12,2)*Intro!$F$7-ROUND($E$7*F23/12*0.03*0.05,2))*0.01-ROUND((($E$7*F23/12)*0.03)*0.05,2)</f>
        <v>2345.3786088</v>
      </c>
      <c r="H23" s="85" t="str">
        <f>"CRDS "&amp;Intro!F21*100&amp;"% (sur "&amp;Intro!F17*100&amp;"% de tous les revenus, dont IRL)"</f>
        <v>CRDS 0,5% (sur 98,25% de tous les revenus, dont IRL)</v>
      </c>
      <c r="I23" s="86"/>
      <c r="J23" s="86"/>
      <c r="K23" s="71"/>
    </row>
    <row r="24" spans="2:11" ht="19.5" customHeight="1">
      <c r="B24" s="43">
        <v>10</v>
      </c>
      <c r="C24" s="44">
        <f>Indices!F14</f>
        <v>612</v>
      </c>
      <c r="D24" s="65">
        <f>ROUNDDOWN($E$7*C24/12,2)+ROUNDDOWN($E$7*C24/12,2)*0.03-ROUNDDOWN($E$7*C24/12,2)*Intro!$F$7-(ROUNDDOWN($E$7*C24/12,2)+ROUNDDOWN($E$7*C24/12,2)*0.03)*Intro!$F$17*Intro!$F$19-(ROUNDDOWN($E$7*C24/12,2)+ROUNDDOWN($E$7*C24/12,2)*0.03)*Intro!$F$17*Intro!$F$21-(ROUNDDOWN($E$7*C24/12,2)+ROUNDDOWN($E$7*C24/12,2)*0.03-ROUNDDOWN($E$7*C24/12,2)*Intro!$F$7-ROUND($E$7*C24/12*0.03*0.05,2))*0.01-ROUND((($E$7*C24/12)*0.03)*0.05,2)</f>
        <v>2388.29940408</v>
      </c>
      <c r="E24" s="69">
        <v>4</v>
      </c>
      <c r="F24" s="70">
        <f>Indices!I8</f>
        <v>642</v>
      </c>
      <c r="G24" s="65">
        <f>ROUNDDOWN($E$7*F24/12,2)+ROUNDDOWN($E$7*F24/12,2)*0.03-ROUNDDOWN($E$7*F24/12,2)*Intro!$F$7-(ROUNDDOWN($E$7*F24/12,2)+ROUNDDOWN($E$7*F24/12,2)*0.03)*Intro!$F$17*Intro!$F$19-(ROUNDDOWN($E$7*F24/12,2)+ROUNDDOWN($E$7*F24/12,2)*0.03)*Intro!$F$17*Intro!$F$21-(ROUNDDOWN($E$7*F24/12,2)+ROUNDDOWN($E$7*F24/12,2)*0.03-ROUNDDOWN($E$7*F24/12,2)*Intro!$F$7-ROUND($E$7*F24/12*0.03*0.05,2))*0.01-ROUND((($E$7*F24/12)*0.03)*0.05,2)</f>
        <v>2505.3726614400002</v>
      </c>
      <c r="H24" s="85" t="str">
        <f>"CSG "&amp;Intro!F19*100&amp;"% (sur "&amp;Intro!F17*100&amp;"% de tous les revenus, dont IRL)"</f>
        <v>CSG 7,5% (sur 98,25% de tous les revenus, dont IRL)</v>
      </c>
      <c r="I24" s="71"/>
      <c r="J24" s="71"/>
      <c r="K24" s="71"/>
    </row>
    <row r="25" spans="2:11" ht="19.5" customHeight="1" thickBot="1">
      <c r="B25" s="48">
        <v>11</v>
      </c>
      <c r="C25" s="49">
        <f>Indices!F15</f>
        <v>658</v>
      </c>
      <c r="D25" s="72">
        <f>ROUNDDOWN($E$7*C25/12,2)+ROUNDDOWN($E$7*C25/12,2)*0.03-ROUNDDOWN($E$7*C25/12,2)*Intro!$F$7-(ROUNDDOWN($E$7*C25/12,2)+ROUNDDOWN($E$7*C25/12,2)*0.03)*Intro!$F$17*Intro!$F$19-(ROUNDDOWN($E$7*C25/12,2)+ROUNDDOWN($E$7*C25/12,2)*0.03)*Intro!$F$17*Intro!$F$21-(ROUNDDOWN($E$7*C25/12,2)+ROUNDDOWN($E$7*C25/12,2)*0.03-ROUNDDOWN($E$7*C25/12,2)*Intro!$F$7-ROUND($E$7*C25/12*0.03*0.05,2))*0.01-ROUND((($E$7*C25/12)*0.03)*0.05,2)</f>
        <v>2567.8176520799993</v>
      </c>
      <c r="E25" s="69">
        <v>5</v>
      </c>
      <c r="F25" s="70">
        <f>Indices!I9</f>
        <v>695</v>
      </c>
      <c r="G25" s="65">
        <f>ROUNDDOWN($E$7*F25/12,2)+ROUNDDOWN($E$7*F25/12,2)*0.03-ROUNDDOWN($E$7*F25/12,2)*Intro!$F$7-(ROUNDDOWN($E$7*F25/12,2)+ROUNDDOWN($E$7*F25/12,2)*0.03)*Intro!$F$17*Intro!$F$19-(ROUNDDOWN($E$7*F25/12,2)+ROUNDDOWN($E$7*F25/12,2)*0.03)*Intro!$F$17*Intro!$F$21-(ROUNDDOWN($E$7*F25/12,2)+ROUNDDOWN($E$7*F25/12,2)*0.03-ROUNDDOWN($E$7*F25/12,2)*Intro!$F$7-ROUND($E$7*F25/12*0.03*0.05,2))*0.01-ROUND((($E$7*F25/12)*0.03)*0.05,2)</f>
        <v>2712.2050428000002</v>
      </c>
      <c r="H25" s="199" t="s">
        <v>41</v>
      </c>
      <c r="I25" s="200"/>
      <c r="J25" s="200"/>
      <c r="K25" s="200"/>
    </row>
    <row r="26" spans="5:11" ht="19.5" customHeight="1" thickTop="1">
      <c r="E26" s="43">
        <v>6</v>
      </c>
      <c r="F26" s="70">
        <f>Indices!I10</f>
        <v>741</v>
      </c>
      <c r="G26" s="65">
        <f>ROUNDDOWN($E$7*F26/12,2)+ROUNDDOWN($E$7*F26/12,2)*0.03-ROUNDDOWN($E$7*F26/12,2)*Intro!$F$7-(ROUNDDOWN($E$7*F26/12,2)+ROUNDDOWN($E$7*F26/12,2)*0.03)*Intro!$F$17*Intro!$F$19-(ROUNDDOWN($E$7*F26/12,2)+ROUNDDOWN($E$7*F26/12,2)*0.03)*Intro!$F$17*Intro!$F$21-(ROUNDDOWN($E$7*F26/12,2)+ROUNDDOWN($E$7*F26/12,2)*0.03-ROUNDDOWN($E$7*F26/12,2)*Intro!$F$7-ROUND($E$7*F26/12*0.03*0.05,2))*0.01-ROUND((($E$7*F26/12)*0.03)*0.05,2)</f>
        <v>2891.7148478399995</v>
      </c>
      <c r="H26" s="199"/>
      <c r="I26" s="200"/>
      <c r="J26" s="200"/>
      <c r="K26" s="200"/>
    </row>
    <row r="27" spans="3:9" ht="19.5" customHeight="1" thickBot="1">
      <c r="C27" s="28"/>
      <c r="D27" s="28"/>
      <c r="E27" s="48">
        <v>7</v>
      </c>
      <c r="F27" s="73">
        <f>Indices!I11</f>
        <v>783</v>
      </c>
      <c r="G27" s="72">
        <f>ROUNDDOWN($E$7*F27/12,2)+ROUNDDOWN($E$7*F27/12,2)*0.03-ROUNDDOWN($E$7*F27/12,2)*Intro!$F$7-(ROUNDDOWN($E$7*F27/12,2)+ROUNDDOWN($E$7*F27/12,2)*0.03)*Intro!$F$17*Intro!$F$19-(ROUNDDOWN($E$7*F27/12,2)+ROUNDDOWN($E$7*F27/12,2)*0.03)*Intro!$F$17*Intro!$F$21-(ROUNDDOWN($E$7*F27/12,2)+ROUNDDOWN($E$7*F27/12,2)*0.03-ROUNDDOWN($E$7*F27/12,2)*Intro!$F$7-ROUND($E$7*F27/12*0.03*0.05,2))*0.01-ROUND((($E$7*F27/12)*0.03)*0.05,2)</f>
        <v>3055.61799096</v>
      </c>
      <c r="I27" s="88"/>
    </row>
    <row r="28" spans="1:12" s="56" customFormat="1" ht="15" thickTop="1">
      <c r="A28" s="22"/>
      <c r="B28" s="22"/>
      <c r="C28" s="63"/>
      <c r="D28" s="63"/>
      <c r="E28" s="22"/>
      <c r="F28" s="22"/>
      <c r="G28" s="22"/>
      <c r="H28" s="22"/>
      <c r="I28" s="89"/>
      <c r="J28" s="22"/>
      <c r="K28" s="22"/>
      <c r="L28" s="22"/>
    </row>
    <row r="29" spans="1:12" s="56" customFormat="1" ht="39.75" customHeight="1" thickBot="1">
      <c r="A29" s="28"/>
      <c r="B29" s="28"/>
      <c r="C29" s="28"/>
      <c r="D29" s="28"/>
      <c r="E29" s="28"/>
      <c r="F29" s="28"/>
      <c r="G29" s="28"/>
      <c r="H29" s="28"/>
      <c r="I29" s="28"/>
      <c r="J29" s="31" t="s">
        <v>37</v>
      </c>
      <c r="K29" s="28"/>
      <c r="L29" s="28"/>
    </row>
    <row r="30" spans="1:12" ht="19.5" customHeight="1" thickBot="1" thickTop="1">
      <c r="A30" s="33"/>
      <c r="B30" s="32"/>
      <c r="C30" s="181" t="s">
        <v>12</v>
      </c>
      <c r="D30" s="212"/>
      <c r="E30" s="212"/>
      <c r="F30" s="212"/>
      <c r="G30" s="212"/>
      <c r="H30" s="212"/>
      <c r="I30" s="212"/>
      <c r="J30" s="182"/>
      <c r="K30" s="33"/>
      <c r="L30" s="33"/>
    </row>
    <row r="31" spans="1:13" s="28" customFormat="1" ht="19.5" customHeight="1" thickBot="1" thickTop="1">
      <c r="A31" s="33"/>
      <c r="B31" s="32"/>
      <c r="C31" s="192" t="s">
        <v>26</v>
      </c>
      <c r="D31" s="194"/>
      <c r="E31" s="192" t="s">
        <v>0</v>
      </c>
      <c r="F31" s="193"/>
      <c r="G31" s="194"/>
      <c r="H31" s="192" t="s">
        <v>1</v>
      </c>
      <c r="I31" s="193"/>
      <c r="J31" s="194"/>
      <c r="K31" s="33"/>
      <c r="L31" s="33"/>
      <c r="M31" s="79"/>
    </row>
    <row r="32" spans="1:12" s="63" customFormat="1" ht="19.5" customHeight="1" thickTop="1">
      <c r="A32" s="34"/>
      <c r="B32" s="210" t="s">
        <v>13</v>
      </c>
      <c r="C32" s="179" t="s">
        <v>14</v>
      </c>
      <c r="D32" s="188" t="s">
        <v>15</v>
      </c>
      <c r="E32" s="179" t="s">
        <v>14</v>
      </c>
      <c r="F32" s="177" t="s">
        <v>15</v>
      </c>
      <c r="G32" s="178"/>
      <c r="H32" s="179" t="s">
        <v>14</v>
      </c>
      <c r="I32" s="177" t="s">
        <v>15</v>
      </c>
      <c r="J32" s="178"/>
      <c r="K32" s="34"/>
      <c r="L32" s="34"/>
    </row>
    <row r="33" spans="1:13" s="63" customFormat="1" ht="19.5" customHeight="1" thickBot="1">
      <c r="A33" s="34"/>
      <c r="B33" s="211"/>
      <c r="C33" s="180"/>
      <c r="D33" s="189"/>
      <c r="E33" s="180"/>
      <c r="F33" s="35" t="s">
        <v>27</v>
      </c>
      <c r="G33" s="35" t="s">
        <v>39</v>
      </c>
      <c r="H33" s="180"/>
      <c r="I33" s="35" t="s">
        <v>27</v>
      </c>
      <c r="J33" s="35" t="s">
        <v>39</v>
      </c>
      <c r="K33" s="34"/>
      <c r="L33" s="34"/>
      <c r="M33" s="79"/>
    </row>
    <row r="34" spans="1:12" s="63" customFormat="1" ht="19.5" customHeight="1" thickTop="1">
      <c r="A34" s="22"/>
      <c r="B34" s="37">
        <v>1</v>
      </c>
      <c r="C34" s="38">
        <f>Indices!C5</f>
        <v>341</v>
      </c>
      <c r="D34" s="41">
        <f>ROUNDDOWN($E$7*C34/12,2)+ROUNDDOWN($E$7*C34/12,2)*0.03-ROUNDDOWN($E$7*C34/12,2)*Intro!$F$7-(ROUNDDOWN($E$7*C34/12,2)+ROUNDDOWN($E$7*C34/12,2)*0.03)*Intro!$F$17*Intro!$F$19-(ROUNDDOWN($E$7*C34/12,2)+ROUNDDOWN($E$7*C34/12,2)*0.03)*Intro!$F$17*Intro!$F$21-(ROUNDDOWN($E$7*C34/12,2)+ROUNDDOWN($E$7*C34/12,2)*0.03-ROUNDDOWN($E$7*C34/12,2)*Intro!$F$7-ROUND($E$7*C34/12*0.03*0.05,2))*0.01-ROUND((($E$7*C34/12)*0.03)*0.05,2)</f>
        <v>1330.72954032</v>
      </c>
      <c r="E34" s="40">
        <f>C34</f>
        <v>341</v>
      </c>
      <c r="F34" s="41">
        <f>ROUNDDOWN($E$7*E34/12,2)+ROUNDDOWN($E$7*E34/12,2)*0.03-ROUNDDOWN($E$7*E34/12,2)*Intro!$F$7-(ROUNDDOWN($E$7*E34/12,2)+ROUNDDOWN($E$7*E34/12,2)*0.03+ROUNDDOWN($F$46,2))*Intro!$F$17*Intro!$F$19-(ROUNDDOWN($E$7*E34/12,2)+ROUNDDOWN($E$7*E34/12,2)*0.03+ROUNDDOWN($F$46,2))*Intro!$F$17*Intro!$F$21-(ROUNDDOWN($E$7*E34/12,2)+ROUNDDOWN($E$7*E34/12,2)*0.03-ROUNDDOWN($E$7*E34/12,2)*Intro!$F$7-ROUND((($E$7*E34/12)*0.03+$F$46)*0.05,2))*0.01-ROUND((($E$7*E34/12)*0.03+$F$46)*0.05,2)</f>
        <v>1306.03186032</v>
      </c>
      <c r="G34" s="41">
        <f aca="true" t="shared" si="0" ref="G34:G44">F34+$F$46</f>
        <v>1498.83186032</v>
      </c>
      <c r="H34" s="40">
        <f>C34</f>
        <v>341</v>
      </c>
      <c r="I34" s="41">
        <f>ROUNDDOWN($E$7*H34/12,2)+ROUNDDOWN($E$7*H34/12,2)*0.03-ROUNDDOWN($E$7*H34/12,2)*Intro!$F$7-(ROUNDDOWN($E$7*H34/12,2)+ROUNDDOWN($E$7*H34/12,2)*0.03+ROUNDDOWN($I$46,2))*Intro!$F$17*Intro!$F$19-(ROUNDDOWN($E$7*H34/12,2)+ROUNDDOWN($E$7*H34/12,2)*0.03+ROUNDDOWN($I$46,2))*Intro!$F$17*Intro!$F$21-(ROUNDDOWN($E$7*H34/12,2)+ROUNDDOWN($E$7*H34/12,2)*0.03-ROUNDDOWN($E$7*H34/12,2)*Intro!$F$7-ROUND((($E$7*H34/12)*0.03+$I$46)*0.05,2))*0.01-ROUND((($E$7*H34/12)*0.03+$I$46)*0.05,2)</f>
        <v>1299.85744032</v>
      </c>
      <c r="J34" s="41">
        <f aca="true" t="shared" si="1" ref="J34:J44">I34+$I$46</f>
        <v>1540.85744032</v>
      </c>
      <c r="K34" s="22"/>
      <c r="L34" s="22"/>
    </row>
    <row r="35" spans="1:12" s="28" customFormat="1" ht="19.5" customHeight="1">
      <c r="A35" s="22"/>
      <c r="B35" s="43">
        <v>2</v>
      </c>
      <c r="C35" s="44">
        <f>Indices!C6</f>
        <v>357</v>
      </c>
      <c r="D35" s="46">
        <f>ROUNDDOWN($E$7*C35/12,2)+ROUNDDOWN($E$7*C35/12,2)*0.03-ROUNDDOWN($E$7*C35/12,2)*Intro!$F$7-(ROUNDDOWN($E$7*C35/12,2)+ROUNDDOWN($E$7*C35/12,2)*0.03)*Intro!$F$17*Intro!$F$19-(ROUNDDOWN($E$7*C35/12,2)+ROUNDDOWN($E$7*C35/12,2)*0.03)*Intro!$F$17*Intro!$F$21-(ROUNDDOWN($E$7*C35/12,2)+ROUNDDOWN($E$7*C35/12,2)*0.03-ROUNDDOWN($E$7*C35/12,2)*Intro!$F$7-ROUND($E$7*C35/12*0.03*0.05,2))*0.01-ROUND((($E$7*C35/12)*0.03)*0.05,2)</f>
        <v>1393.17453096</v>
      </c>
      <c r="E35" s="44">
        <f aca="true" t="shared" si="2" ref="E35:E44">C35</f>
        <v>357</v>
      </c>
      <c r="F35" s="46">
        <f>ROUNDDOWN($E$7*E35/12,2)+ROUNDDOWN($E$7*E35/12,2)*0.03-ROUNDDOWN($E$7*E35/12,2)*Intro!$F$7-(ROUNDDOWN($E$7*E35/12,2)+ROUNDDOWN($E$7*E35/12,2)*0.03+ROUNDDOWN($F$46,2))*Intro!$F$17*Intro!$F$19-(ROUNDDOWN($E$7*E35/12,2)+ROUNDDOWN($E$7*E35/12,2)*0.03+ROUNDDOWN($F$46,2))*Intro!$F$17*Intro!$F$21-(ROUNDDOWN($E$7*E35/12,2)+ROUNDDOWN($E$7*E35/12,2)*0.03-ROUNDDOWN($E$7*E35/12,2)*Intro!$F$7-ROUND((($E$7*E35/12)*0.03+$F$46)*0.05,2))*0.01-ROUND((($E$7*E35/12)*0.03+$F$46)*0.05,2)</f>
        <v>1368.4768509600003</v>
      </c>
      <c r="G35" s="46">
        <f t="shared" si="0"/>
        <v>1561.2768509600003</v>
      </c>
      <c r="H35" s="44">
        <f aca="true" t="shared" si="3" ref="H35:H44">C35</f>
        <v>357</v>
      </c>
      <c r="I35" s="46">
        <f>ROUNDDOWN($E$7*H35/12,2)+ROUNDDOWN($E$7*H35/12,2)*0.03-ROUNDDOWN($E$7*H35/12,2)*Intro!$F$7-(ROUNDDOWN($E$7*H35/12,2)+ROUNDDOWN($E$7*H35/12,2)*0.03+ROUNDDOWN($I$46,2))*Intro!$F$17*Intro!$F$19-(ROUNDDOWN($E$7*H35/12,2)+ROUNDDOWN($E$7*H35/12,2)*0.03+ROUNDDOWN($I$46,2))*Intro!$F$17*Intro!$F$21-(ROUNDDOWN($E$7*H35/12,2)+ROUNDDOWN($E$7*H35/12,2)*0.03-ROUNDDOWN($E$7*H35/12,2)*Intro!$F$7-ROUND((($E$7*H35/12)*0.03+$I$46)*0.05,2))*0.01-ROUND((($E$7*H35/12)*0.03+$I$46)*0.05,2)</f>
        <v>1362.30243096</v>
      </c>
      <c r="J35" s="46">
        <f t="shared" si="1"/>
        <v>1603.30243096</v>
      </c>
      <c r="K35" s="22"/>
      <c r="L35" s="22"/>
    </row>
    <row r="36" spans="2:10" ht="19.5" customHeight="1">
      <c r="B36" s="43">
        <v>3</v>
      </c>
      <c r="C36" s="44">
        <f>Indices!C7</f>
        <v>366</v>
      </c>
      <c r="D36" s="46">
        <f>ROUNDDOWN($E$7*C36/12,2)+ROUNDDOWN($E$7*C36/12,2)*0.03-ROUNDDOWN($E$7*C36/12,2)*Intro!$F$7-(ROUNDDOWN($E$7*C36/12,2)+ROUNDDOWN($E$7*C36/12,2)*0.03)*Intro!$F$17*Intro!$F$19-(ROUNDDOWN($E$7*C36/12,2)+ROUNDDOWN($E$7*C36/12,2)*0.03)*Intro!$F$17*Intro!$F$21-(ROUNDDOWN($E$7*C36/12,2)+ROUNDDOWN($E$7*C36/12,2)*0.03-ROUNDDOWN($E$7*C36/12,2)*Intro!$F$7-ROUND($E$7*C36/12*0.03*0.05,2))*0.01-ROUND((($E$7*C36/12)*0.03)*0.05,2)</f>
        <v>1428.2969452800003</v>
      </c>
      <c r="E36" s="44">
        <f t="shared" si="2"/>
        <v>366</v>
      </c>
      <c r="F36" s="46">
        <f>ROUNDDOWN($E$7*E36/12,2)+ROUNDDOWN($E$7*E36/12,2)*0.03-ROUNDDOWN($E$7*E36/12,2)*Intro!$F$7-(ROUNDDOWN($E$7*E36/12,2)+ROUNDDOWN($E$7*E36/12,2)*0.03+ROUNDDOWN($F$46,2))*Intro!$F$17*Intro!$F$19-(ROUNDDOWN($E$7*E36/12,2)+ROUNDDOWN($E$7*E36/12,2)*0.03+ROUNDDOWN($F$46,2))*Intro!$F$17*Intro!$F$21-(ROUNDDOWN($E$7*E36/12,2)+ROUNDDOWN($E$7*E36/12,2)*0.03-ROUNDDOWN($E$7*E36/12,2)*Intro!$F$7-ROUND((($E$7*E36/12)*0.03+$F$46)*0.05,2))*0.01-ROUND((($E$7*E36/12)*0.03+$F$46)*0.05,2)</f>
        <v>1403.59926528</v>
      </c>
      <c r="G36" s="46">
        <f t="shared" si="0"/>
        <v>1596.39926528</v>
      </c>
      <c r="H36" s="44">
        <f t="shared" si="3"/>
        <v>366</v>
      </c>
      <c r="I36" s="46">
        <f>ROUNDDOWN($E$7*H36/12,2)+ROUNDDOWN($E$7*H36/12,2)*0.03-ROUNDDOWN($E$7*H36/12,2)*Intro!$F$7-(ROUNDDOWN($E$7*H36/12,2)+ROUNDDOWN($E$7*H36/12,2)*0.03+ROUNDDOWN($I$46,2))*Intro!$F$17*Intro!$F$19-(ROUNDDOWN($E$7*H36/12,2)+ROUNDDOWN($E$7*H36/12,2)*0.03+ROUNDDOWN($I$46,2))*Intro!$F$17*Intro!$F$21-(ROUNDDOWN($E$7*H36/12,2)+ROUNDDOWN($E$7*H36/12,2)*0.03-ROUNDDOWN($E$7*H36/12,2)*Intro!$F$7-ROUND((($E$7*H36/12)*0.03+$I$46)*0.05,2))*0.01-ROUND((($E$7*H36/12)*0.03+$I$46)*0.05,2)</f>
        <v>1397.4248452800002</v>
      </c>
      <c r="J36" s="46">
        <f t="shared" si="1"/>
        <v>1638.4248452800002</v>
      </c>
    </row>
    <row r="37" spans="2:10" ht="19.5" customHeight="1">
      <c r="B37" s="43">
        <v>4</v>
      </c>
      <c r="C37" s="44">
        <f>Indices!C8</f>
        <v>373</v>
      </c>
      <c r="D37" s="46">
        <f>ROUNDDOWN($E$7*C37/12,2)+ROUNDDOWN($E$7*C37/12,2)*0.03-ROUNDDOWN($E$7*C37/12,2)*Intro!$F$7-(ROUNDDOWN($E$7*C37/12,2)+ROUNDDOWN($E$7*C37/12,2)*0.03)*Intro!$F$17*Intro!$F$19-(ROUNDDOWN($E$7*C37/12,2)+ROUNDDOWN($E$7*C37/12,2)*0.03)*Intro!$F$17*Intro!$F$21-(ROUNDDOWN($E$7*C37/12,2)+ROUNDDOWN($E$7*C37/12,2)*0.03-ROUNDDOWN($E$7*C37/12,2)*Intro!$F$7-ROUND($E$7*C37/12*0.03*0.05,2))*0.01-ROUND((($E$7*C37/12)*0.03)*0.05,2)</f>
        <v>1455.61107864</v>
      </c>
      <c r="E37" s="44">
        <f t="shared" si="2"/>
        <v>373</v>
      </c>
      <c r="F37" s="46">
        <f>ROUNDDOWN($E$7*E37/12,2)+ROUNDDOWN($E$7*E37/12,2)*0.03-ROUNDDOWN($E$7*E37/12,2)*Intro!$F$7-(ROUNDDOWN($E$7*E37/12,2)+ROUNDDOWN($E$7*E37/12,2)*0.03+ROUNDDOWN($F$46,2))*Intro!$F$17*Intro!$F$19-(ROUNDDOWN($E$7*E37/12,2)+ROUNDDOWN($E$7*E37/12,2)*0.03+ROUNDDOWN($F$46,2))*Intro!$F$17*Intro!$F$21-(ROUNDDOWN($E$7*E37/12,2)+ROUNDDOWN($E$7*E37/12,2)*0.03-ROUNDDOWN($E$7*E37/12,2)*Intro!$F$7-ROUND((($E$7*E37/12)*0.03+$F$46)*0.05,2))*0.01-ROUND((($E$7*E37/12)*0.03+$F$46)*0.05,2)</f>
        <v>1430.9133986399997</v>
      </c>
      <c r="G37" s="46">
        <f t="shared" si="0"/>
        <v>1623.7133986399997</v>
      </c>
      <c r="H37" s="44">
        <f t="shared" si="3"/>
        <v>373</v>
      </c>
      <c r="I37" s="46">
        <f>ROUNDDOWN($E$7*H37/12,2)+ROUNDDOWN($E$7*H37/12,2)*0.03-ROUNDDOWN($E$7*H37/12,2)*Intro!$F$7-(ROUNDDOWN($E$7*H37/12,2)+ROUNDDOWN($E$7*H37/12,2)*0.03+ROUNDDOWN($I$46,2))*Intro!$F$17*Intro!$F$19-(ROUNDDOWN($E$7*H37/12,2)+ROUNDDOWN($E$7*H37/12,2)*0.03+ROUNDDOWN($I$46,2))*Intro!$F$17*Intro!$F$21-(ROUNDDOWN($E$7*H37/12,2)+ROUNDDOWN($E$7*H37/12,2)*0.03-ROUNDDOWN($E$7*H37/12,2)*Intro!$F$7-ROUND((($E$7*H37/12)*0.03+$I$46)*0.05,2))*0.01-ROUND((($E$7*H37/12)*0.03+$I$46)*0.05,2)</f>
        <v>1424.7389786399997</v>
      </c>
      <c r="J37" s="46">
        <f t="shared" si="1"/>
        <v>1665.7389786399997</v>
      </c>
    </row>
    <row r="38" spans="2:10" ht="19.5" customHeight="1">
      <c r="B38" s="43">
        <v>5</v>
      </c>
      <c r="C38" s="44">
        <f>Indices!C9</f>
        <v>383</v>
      </c>
      <c r="D38" s="46">
        <f>ROUNDDOWN($E$7*C38/12,2)+ROUNDDOWN($E$7*C38/12,2)*0.03-ROUNDDOWN($E$7*C38/12,2)*Intro!$F$7-(ROUNDDOWN($E$7*C38/12,2)+ROUNDDOWN($E$7*C38/12,2)*0.03)*Intro!$F$17*Intro!$F$19-(ROUNDDOWN($E$7*C38/12,2)+ROUNDDOWN($E$7*C38/12,2)*0.03)*Intro!$F$17*Intro!$F$21-(ROUNDDOWN($E$7*C38/12,2)+ROUNDDOWN($E$7*C38/12,2)*0.03-ROUNDDOWN($E$7*C38/12,2)*Intro!$F$7-ROUND($E$7*C38/12*0.03*0.05,2))*0.01-ROUND((($E$7*C38/12)*0.03)*0.05,2)</f>
        <v>1494.6411264</v>
      </c>
      <c r="E38" s="44">
        <f t="shared" si="2"/>
        <v>383</v>
      </c>
      <c r="F38" s="46">
        <f>ROUNDDOWN($E$7*E38/12,2)+ROUNDDOWN($E$7*E38/12,2)*0.03-ROUNDDOWN($E$7*E38/12,2)*Intro!$F$7-(ROUNDDOWN($E$7*E38/12,2)+ROUNDDOWN($E$7*E38/12,2)*0.03+ROUNDDOWN($F$46,2))*Intro!$F$17*Intro!$F$19-(ROUNDDOWN($E$7*E38/12,2)+ROUNDDOWN($E$7*E38/12,2)*0.03+ROUNDDOWN($F$46,2))*Intro!$F$17*Intro!$F$21-(ROUNDDOWN($E$7*E38/12,2)+ROUNDDOWN($E$7*E38/12,2)*0.03-ROUNDDOWN($E$7*E38/12,2)*Intro!$F$7-ROUND((($E$7*E38/12)*0.03+$F$46)*0.05,2))*0.01-ROUND((($E$7*E38/12)*0.03+$F$46)*0.05,2)</f>
        <v>1469.9434464</v>
      </c>
      <c r="G38" s="46">
        <f t="shared" si="0"/>
        <v>1662.7434464</v>
      </c>
      <c r="H38" s="44">
        <f t="shared" si="3"/>
        <v>383</v>
      </c>
      <c r="I38" s="46">
        <f>ROUNDDOWN($E$7*H38/12,2)+ROUNDDOWN($E$7*H38/12,2)*0.03-ROUNDDOWN($E$7*H38/12,2)*Intro!$F$7-(ROUNDDOWN($E$7*H38/12,2)+ROUNDDOWN($E$7*H38/12,2)*0.03+ROUNDDOWN($I$46,2))*Intro!$F$17*Intro!$F$19-(ROUNDDOWN($E$7*H38/12,2)+ROUNDDOWN($E$7*H38/12,2)*0.03+ROUNDDOWN($I$46,2))*Intro!$F$17*Intro!$F$21-(ROUNDDOWN($E$7*H38/12,2)+ROUNDDOWN($E$7*H38/12,2)*0.03-ROUNDDOWN($E$7*H38/12,2)*Intro!$F$7-ROUND((($E$7*H38/12)*0.03+$I$46)*0.05,2))*0.01-ROUND((($E$7*H38/12)*0.03+$I$46)*0.05,2)</f>
        <v>1463.7690264</v>
      </c>
      <c r="J38" s="46">
        <f t="shared" si="1"/>
        <v>1704.7690264</v>
      </c>
    </row>
    <row r="39" spans="2:10" ht="19.5" customHeight="1">
      <c r="B39" s="43">
        <v>6</v>
      </c>
      <c r="C39" s="44">
        <f>Indices!C10</f>
        <v>390</v>
      </c>
      <c r="D39" s="46">
        <f>ROUNDDOWN($E$7*C39/12,2)+ROUNDDOWN($E$7*C39/12,2)*0.03-ROUNDDOWN($E$7*C39/12,2)*Intro!$F$7-(ROUNDDOWN($E$7*C39/12,2)+ROUNDDOWN($E$7*C39/12,2)*0.03)*Intro!$F$17*Intro!$F$19-(ROUNDDOWN($E$7*C39/12,2)+ROUNDDOWN($E$7*C39/12,2)*0.03)*Intro!$F$17*Intro!$F$21-(ROUNDDOWN($E$7*C39/12,2)+ROUNDDOWN($E$7*C39/12,2)*0.03-ROUNDDOWN($E$7*C39/12,2)*Intro!$F$7-ROUND($E$7*C39/12*0.03*0.05,2))*0.01-ROUND((($E$7*C39/12)*0.03)*0.05,2)</f>
        <v>1521.95525976</v>
      </c>
      <c r="E39" s="44">
        <f t="shared" si="2"/>
        <v>390</v>
      </c>
      <c r="F39" s="46">
        <f>ROUNDDOWN($E$7*E39/12,2)+ROUNDDOWN($E$7*E39/12,2)*0.03-ROUNDDOWN($E$7*E39/12,2)*Intro!$F$7-(ROUNDDOWN($E$7*E39/12,2)+ROUNDDOWN($E$7*E39/12,2)*0.03+ROUNDDOWN($F$46,2))*Intro!$F$17*Intro!$F$19-(ROUNDDOWN($E$7*E39/12,2)+ROUNDDOWN($E$7*E39/12,2)*0.03+ROUNDDOWN($F$46,2))*Intro!$F$17*Intro!$F$21-(ROUNDDOWN($E$7*E39/12,2)+ROUNDDOWN($E$7*E39/12,2)*0.03-ROUNDDOWN($E$7*E39/12,2)*Intro!$F$7-ROUND((($E$7*E39/12)*0.03+$F$46)*0.05,2))*0.01-ROUND((($E$7*E39/12)*0.03+$F$46)*0.05,2)</f>
        <v>1497.25757976</v>
      </c>
      <c r="G39" s="46">
        <f t="shared" si="0"/>
        <v>1690.05757976</v>
      </c>
      <c r="H39" s="44">
        <f t="shared" si="3"/>
        <v>390</v>
      </c>
      <c r="I39" s="46">
        <f>ROUNDDOWN($E$7*H39/12,2)+ROUNDDOWN($E$7*H39/12,2)*0.03-ROUNDDOWN($E$7*H39/12,2)*Intro!$F$7-(ROUNDDOWN($E$7*H39/12,2)+ROUNDDOWN($E$7*H39/12,2)*0.03+ROUNDDOWN($I$46,2))*Intro!$F$17*Intro!$F$19-(ROUNDDOWN($E$7*H39/12,2)+ROUNDDOWN($E$7*H39/12,2)*0.03+ROUNDDOWN($I$46,2))*Intro!$F$17*Intro!$F$21-(ROUNDDOWN($E$7*H39/12,2)+ROUNDDOWN($E$7*H39/12,2)*0.03-ROUNDDOWN($E$7*H39/12,2)*Intro!$F$7-ROUND((($E$7*H39/12)*0.03+$I$46)*0.05,2))*0.01-ROUND((($E$7*H39/12)*0.03+$I$46)*0.05,2)</f>
        <v>1491.0831597599997</v>
      </c>
      <c r="J39" s="46">
        <f t="shared" si="1"/>
        <v>1732.0831597599997</v>
      </c>
    </row>
    <row r="40" spans="2:10" ht="19.5" customHeight="1">
      <c r="B40" s="43">
        <v>7</v>
      </c>
      <c r="C40" s="44">
        <f>Indices!C11</f>
        <v>399</v>
      </c>
      <c r="D40" s="46">
        <f>ROUNDDOWN($E$7*C40/12,2)+ROUNDDOWN($E$7*C40/12,2)*0.03-ROUNDDOWN($E$7*C40/12,2)*Intro!$F$7-(ROUNDDOWN($E$7*C40/12,2)+ROUNDDOWN($E$7*C40/12,2)*0.03)*Intro!$F$17*Intro!$F$19-(ROUNDDOWN($E$7*C40/12,2)+ROUNDDOWN($E$7*C40/12,2)*0.03)*Intro!$F$17*Intro!$F$21-(ROUNDDOWN($E$7*C40/12,2)+ROUNDDOWN($E$7*C40/12,2)*0.03-ROUNDDOWN($E$7*C40/12,2)*Intro!$F$7-ROUND($E$7*C40/12*0.03*0.05,2))*0.01-ROUND((($E$7*C40/12)*0.03)*0.05,2)</f>
        <v>1557.0776740800002</v>
      </c>
      <c r="E40" s="44">
        <f t="shared" si="2"/>
        <v>399</v>
      </c>
      <c r="F40" s="46">
        <f>ROUNDDOWN($E$7*E40/12,2)+ROUNDDOWN($E$7*E40/12,2)*0.03-ROUNDDOWN($E$7*E40/12,2)*Intro!$F$7-(ROUNDDOWN($E$7*E40/12,2)+ROUNDDOWN($E$7*E40/12,2)*0.03+ROUNDDOWN($F$46,2))*Intro!$F$17*Intro!$F$19-(ROUNDDOWN($E$7*E40/12,2)+ROUNDDOWN($E$7*E40/12,2)*0.03+ROUNDDOWN($F$46,2))*Intro!$F$17*Intro!$F$21-(ROUNDDOWN($E$7*E40/12,2)+ROUNDDOWN($E$7*E40/12,2)*0.03-ROUNDDOWN($E$7*E40/12,2)*Intro!$F$7-ROUND((($E$7*E40/12)*0.03+$F$46)*0.05,2))*0.01-ROUND((($E$7*E40/12)*0.03+$F$46)*0.05,2)</f>
        <v>1532.3799940800002</v>
      </c>
      <c r="G40" s="46">
        <f t="shared" si="0"/>
        <v>1725.1799940800001</v>
      </c>
      <c r="H40" s="44">
        <f t="shared" si="3"/>
        <v>399</v>
      </c>
      <c r="I40" s="46">
        <f>ROUNDDOWN($E$7*H40/12,2)+ROUNDDOWN($E$7*H40/12,2)*0.03-ROUNDDOWN($E$7*H40/12,2)*Intro!$F$7-(ROUNDDOWN($E$7*H40/12,2)+ROUNDDOWN($E$7*H40/12,2)*0.03+ROUNDDOWN($I$46,2))*Intro!$F$17*Intro!$F$19-(ROUNDDOWN($E$7*H40/12,2)+ROUNDDOWN($E$7*H40/12,2)*0.03+ROUNDDOWN($I$46,2))*Intro!$F$17*Intro!$F$21-(ROUNDDOWN($E$7*H40/12,2)+ROUNDDOWN($E$7*H40/12,2)*0.03-ROUNDDOWN($E$7*H40/12,2)*Intro!$F$7-ROUND((($E$7*H40/12)*0.03+$I$46)*0.05,2))*0.01-ROUND((($E$7*H40/12)*0.03+$I$46)*0.05,2)</f>
        <v>1526.2055740800001</v>
      </c>
      <c r="J40" s="46">
        <f t="shared" si="1"/>
        <v>1767.2055740800001</v>
      </c>
    </row>
    <row r="41" spans="2:10" ht="19.5" customHeight="1">
      <c r="B41" s="43">
        <v>8</v>
      </c>
      <c r="C41" s="44">
        <f>Indices!C12</f>
        <v>420</v>
      </c>
      <c r="D41" s="46">
        <f>ROUNDDOWN($E$7*C41/12,2)+ROUNDDOWN($E$7*C41/12,2)*0.03-ROUNDDOWN($E$7*C41/12,2)*Intro!$F$7-(ROUNDDOWN($E$7*C41/12,2)+ROUNDDOWN($E$7*C41/12,2)*0.03)*Intro!$F$17*Intro!$F$19-(ROUNDDOWN($E$7*C41/12,2)+ROUNDDOWN($E$7*C41/12,2)*0.03)*Intro!$F$17*Intro!$F$21-(ROUNDDOWN($E$7*C41/12,2)+ROUNDDOWN($E$7*C41/12,2)*0.03-ROUNDDOWN($E$7*C41/12,2)*Intro!$F$7-ROUND($E$7*C41/12*0.03*0.05,2))*0.01-ROUND((($E$7*C41/12)*0.03)*0.05,2)</f>
        <v>1639.0285171199998</v>
      </c>
      <c r="E41" s="44">
        <f t="shared" si="2"/>
        <v>420</v>
      </c>
      <c r="F41" s="46">
        <f>ROUNDDOWN($E$7*E41/12,2)+ROUNDDOWN($E$7*E41/12,2)*0.03-ROUNDDOWN($E$7*E41/12,2)*Intro!$F$7-(ROUNDDOWN($E$7*E41/12,2)+ROUNDDOWN($E$7*E41/12,2)*0.03+ROUNDDOWN($F$46,2))*Intro!$F$17*Intro!$F$19-(ROUNDDOWN($E$7*E41/12,2)+ROUNDDOWN($E$7*E41/12,2)*0.03+ROUNDDOWN($F$46,2))*Intro!$F$17*Intro!$F$21-(ROUNDDOWN($E$7*E41/12,2)+ROUNDDOWN($E$7*E41/12,2)*0.03-ROUNDDOWN($E$7*E41/12,2)*Intro!$F$7-ROUND((($E$7*E41/12)*0.03+$F$46)*0.05,2))*0.01-ROUND((($E$7*E41/12)*0.03+$F$46)*0.05,2)</f>
        <v>1614.3308371199998</v>
      </c>
      <c r="G41" s="46">
        <f t="shared" si="0"/>
        <v>1807.1308371199998</v>
      </c>
      <c r="H41" s="44">
        <f t="shared" si="3"/>
        <v>420</v>
      </c>
      <c r="I41" s="46">
        <f>ROUNDDOWN($E$7*H41/12,2)+ROUNDDOWN($E$7*H41/12,2)*0.03-ROUNDDOWN($E$7*H41/12,2)*Intro!$F$7-(ROUNDDOWN($E$7*H41/12,2)+ROUNDDOWN($E$7*H41/12,2)*0.03+ROUNDDOWN($I$46,2))*Intro!$F$17*Intro!$F$19-(ROUNDDOWN($E$7*H41/12,2)+ROUNDDOWN($E$7*H41/12,2)*0.03+ROUNDDOWN($I$46,2))*Intro!$F$17*Intro!$F$21-(ROUNDDOWN($E$7*H41/12,2)+ROUNDDOWN($E$7*H41/12,2)*0.03-ROUNDDOWN($E$7*H41/12,2)*Intro!$F$7-ROUND((($E$7*H41/12)*0.03+$I$46)*0.05,2))*0.01-ROUND((($E$7*H41/12)*0.03+$I$46)*0.05,2)</f>
        <v>1608.15641712</v>
      </c>
      <c r="J41" s="46">
        <f t="shared" si="1"/>
        <v>1849.15641712</v>
      </c>
    </row>
    <row r="42" spans="2:10" ht="19.5" customHeight="1">
      <c r="B42" s="43">
        <v>9</v>
      </c>
      <c r="C42" s="44">
        <f>Indices!C13</f>
        <v>441</v>
      </c>
      <c r="D42" s="46">
        <f>ROUNDDOWN($E$7*C42/12,2)+ROUNDDOWN($E$7*C42/12,2)*0.03-ROUNDDOWN($E$7*C42/12,2)*Intro!$F$7-(ROUNDDOWN($E$7*C42/12,2)+ROUNDDOWN($E$7*C42/12,2)*0.03)*Intro!$F$17*Intro!$F$19-(ROUNDDOWN($E$7*C42/12,2)+ROUNDDOWN($E$7*C42/12,2)*0.03)*Intro!$F$17*Intro!$F$21-(ROUNDDOWN($E$7*C42/12,2)+ROUNDDOWN($E$7*C42/12,2)*0.03-ROUNDDOWN($E$7*C42/12,2)*Intro!$F$7-ROUND($E$7*C42/12*0.03*0.05,2))*0.01-ROUND((($E$7*C42/12)*0.03)*0.05,2)</f>
        <v>1720.9808172000003</v>
      </c>
      <c r="E42" s="44">
        <f t="shared" si="2"/>
        <v>441</v>
      </c>
      <c r="F42" s="46">
        <f>ROUNDDOWN($E$7*E42/12,2)+ROUNDDOWN($E$7*E42/12,2)*0.03-ROUNDDOWN($E$7*E42/12,2)*Intro!$F$7-(ROUNDDOWN($E$7*E42/12,2)+ROUNDDOWN($E$7*E42/12,2)*0.03+ROUNDDOWN($F$46,2))*Intro!$F$17*Intro!$F$19-(ROUNDDOWN($E$7*E42/12,2)+ROUNDDOWN($E$7*E42/12,2)*0.03+ROUNDDOWN($F$46,2))*Intro!$F$17*Intro!$F$21-(ROUNDDOWN($E$7*E42/12,2)+ROUNDDOWN($E$7*E42/12,2)*0.03-ROUNDDOWN($E$7*E42/12,2)*Intro!$F$7-ROUND((($E$7*E42/12)*0.03+$F$46)*0.05,2))*0.01-ROUND((($E$7*E42/12)*0.03+$F$46)*0.05,2)</f>
        <v>1696.2831372</v>
      </c>
      <c r="G42" s="46">
        <f t="shared" si="0"/>
        <v>1889.0831372</v>
      </c>
      <c r="H42" s="44">
        <f t="shared" si="3"/>
        <v>441</v>
      </c>
      <c r="I42" s="46">
        <f>ROUNDDOWN($E$7*H42/12,2)+ROUNDDOWN($E$7*H42/12,2)*0.03-ROUNDDOWN($E$7*H42/12,2)*Intro!$F$7-(ROUNDDOWN($E$7*H42/12,2)+ROUNDDOWN($E$7*H42/12,2)*0.03+ROUNDDOWN($I$46,2))*Intro!$F$17*Intro!$F$19-(ROUNDDOWN($E$7*H42/12,2)+ROUNDDOWN($E$7*H42/12,2)*0.03+ROUNDDOWN($I$46,2))*Intro!$F$17*Intro!$F$21-(ROUNDDOWN($E$7*H42/12,2)+ROUNDDOWN($E$7*H42/12,2)*0.03-ROUNDDOWN($E$7*H42/12,2)*Intro!$F$7-ROUND((($E$7*H42/12)*0.03+$I$46)*0.05,2))*0.01-ROUND((($E$7*H42/12)*0.03+$I$46)*0.05,2)</f>
        <v>1690.1087172000002</v>
      </c>
      <c r="J42" s="46">
        <f t="shared" si="1"/>
        <v>1931.1087172000002</v>
      </c>
    </row>
    <row r="43" spans="2:10" ht="19.5" customHeight="1">
      <c r="B43" s="43">
        <v>10</v>
      </c>
      <c r="C43" s="44">
        <f>Indices!C14</f>
        <v>469</v>
      </c>
      <c r="D43" s="46">
        <f>ROUNDDOWN($E$7*C43/12,2)+ROUNDDOWN($E$7*C43/12,2)*0.03-ROUNDDOWN($E$7*C43/12,2)*Intro!$F$7-(ROUNDDOWN($E$7*C43/12,2)+ROUNDDOWN($E$7*C43/12,2)*0.03)*Intro!$F$17*Intro!$F$19-(ROUNDDOWN($E$7*C43/12,2)+ROUNDDOWN($E$7*C43/12,2)*0.03)*Intro!$F$17*Intro!$F$21-(ROUNDDOWN($E$7*C43/12,2)+ROUNDDOWN($E$7*C43/12,2)*0.03-ROUNDDOWN($E$7*C43/12,2)*Intro!$F$7-ROUND($E$7*C43/12*0.03*0.05,2))*0.01-ROUND((($E$7*C43/12)*0.03)*0.05,2)</f>
        <v>1830.2457935999998</v>
      </c>
      <c r="E43" s="44">
        <f t="shared" si="2"/>
        <v>469</v>
      </c>
      <c r="F43" s="46">
        <f>ROUNDDOWN($E$7*E43/12,2)+ROUNDDOWN($E$7*E43/12,2)*0.03-ROUNDDOWN($E$7*E43/12,2)*Intro!$F$7-(ROUNDDOWN($E$7*E43/12,2)+ROUNDDOWN($E$7*E43/12,2)*0.03+ROUNDDOWN($F$46,2))*Intro!$F$17*Intro!$F$19-(ROUNDDOWN($E$7*E43/12,2)+ROUNDDOWN($E$7*E43/12,2)*0.03+ROUNDDOWN($F$46,2))*Intro!$F$17*Intro!$F$21-(ROUNDDOWN($E$7*E43/12,2)+ROUNDDOWN($E$7*E43/12,2)*0.03-ROUNDDOWN($E$7*E43/12,2)*Intro!$F$7-ROUND((($E$7*E43/12)*0.03+$F$46)*0.05,2))*0.01-ROUND((($E$7*E43/12)*0.03+$F$46)*0.05,2)</f>
        <v>1805.5481135999999</v>
      </c>
      <c r="G43" s="46">
        <f t="shared" si="0"/>
        <v>1998.3481135999998</v>
      </c>
      <c r="H43" s="44">
        <f t="shared" si="3"/>
        <v>469</v>
      </c>
      <c r="I43" s="46">
        <f>ROUNDDOWN($E$7*H43/12,2)+ROUNDDOWN($E$7*H43/12,2)*0.03-ROUNDDOWN($E$7*H43/12,2)*Intro!$F$7-(ROUNDDOWN($E$7*H43/12,2)+ROUNDDOWN($E$7*H43/12,2)*0.03+ROUNDDOWN($I$46,2))*Intro!$F$17*Intro!$F$19-(ROUNDDOWN($E$7*H43/12,2)+ROUNDDOWN($E$7*H43/12,2)*0.03+ROUNDDOWN($I$46,2))*Intro!$F$17*Intro!$F$21-(ROUNDDOWN($E$7*H43/12,2)+ROUNDDOWN($E$7*H43/12,2)*0.03-ROUNDDOWN($E$7*H43/12,2)*Intro!$F$7-ROUND((($E$7*H43/12)*0.03+$I$46)*0.05,2))*0.01-ROUND((($E$7*H43/12)*0.03+$I$46)*0.05,2)</f>
        <v>1799.3736936</v>
      </c>
      <c r="J43" s="46">
        <f t="shared" si="1"/>
        <v>2040.3736936</v>
      </c>
    </row>
    <row r="44" spans="2:10" ht="19.5" customHeight="1" thickBot="1">
      <c r="B44" s="48">
        <v>11</v>
      </c>
      <c r="C44" s="49">
        <f>Indices!C15</f>
        <v>515</v>
      </c>
      <c r="D44" s="51">
        <f>ROUNDDOWN($E$7*C44/12,2)+ROUNDDOWN($E$7*C44/12,2)*0.03-ROUNDDOWN($E$7*C44/12,2)*Intro!$F$7-(ROUNDDOWN($E$7*C44/12,2)+ROUNDDOWN($E$7*C44/12,2)*0.03)*Intro!$F$17*Intro!$F$19-(ROUNDDOWN($E$7*C44/12,2)+ROUNDDOWN($E$7*C44/12,2)*0.03)*Intro!$F$17*Intro!$F$21-(ROUNDDOWN($E$7*C44/12,2)+ROUNDDOWN($E$7*C44/12,2)*0.03-ROUNDDOWN($E$7*C44/12,2)*Intro!$F$7-ROUND($E$7*C44/12*0.03*0.05,2))*0.01-ROUND((($E$7*C44/12)*0.03)*0.05,2)</f>
        <v>2009.7640416</v>
      </c>
      <c r="E44" s="49">
        <f t="shared" si="2"/>
        <v>515</v>
      </c>
      <c r="F44" s="51">
        <f>ROUNDDOWN($E$7*E44/12,2)+ROUNDDOWN($E$7*E44/12,2)*0.03-ROUNDDOWN($E$7*E44/12,2)*Intro!$F$7-(ROUNDDOWN($E$7*E44/12,2)+ROUNDDOWN($E$7*E44/12,2)*0.03+ROUNDDOWN($F$46,2))*Intro!$F$17*Intro!$F$19-(ROUNDDOWN($E$7*E44/12,2)+ROUNDDOWN($E$7*E44/12,2)*0.03+ROUNDDOWN($F$46,2))*Intro!$F$17*Intro!$F$21-(ROUNDDOWN($E$7*E44/12,2)+ROUNDDOWN($E$7*E44/12,2)*0.03-ROUNDDOWN($E$7*E44/12,2)*Intro!$F$7-ROUND((($E$7*E44/12)*0.03+$F$46)*0.05,2))*0.01-ROUND((($E$7*E44/12)*0.03+$F$46)*0.05,2)</f>
        <v>1985.0663616</v>
      </c>
      <c r="G44" s="51">
        <f t="shared" si="0"/>
        <v>2177.8663616</v>
      </c>
      <c r="H44" s="49">
        <f t="shared" si="3"/>
        <v>515</v>
      </c>
      <c r="I44" s="51">
        <f>ROUNDDOWN($E$7*H44/12,2)+ROUNDDOWN($E$7*H44/12,2)*0.03-ROUNDDOWN($E$7*H44/12,2)*Intro!$F$7-(ROUNDDOWN($E$7*H44/12,2)+ROUNDDOWN($E$7*H44/12,2)*0.03+ROUNDDOWN($I$46,2))*Intro!$F$17*Intro!$F$19-(ROUNDDOWN($E$7*H44/12,2)+ROUNDDOWN($E$7*H44/12,2)*0.03+ROUNDDOWN($I$46,2))*Intro!$F$17*Intro!$F$21-(ROUNDDOWN($E$7*H44/12,2)+ROUNDDOWN($E$7*H44/12,2)*0.03-ROUNDDOWN($E$7*H44/12,2)*Intro!$F$7-ROUND((($E$7*H44/12)*0.03+$I$46)*0.05,2))*0.01-ROUND((($E$7*H44/12)*0.03+$I$46)*0.05,2)</f>
        <v>1978.8919415999999</v>
      </c>
      <c r="J44" s="51">
        <f t="shared" si="1"/>
        <v>2219.8919416</v>
      </c>
    </row>
    <row r="45" spans="3:11" ht="19.5" customHeight="1" thickBot="1" thickTop="1">
      <c r="C45" s="53"/>
      <c r="D45" s="53"/>
      <c r="E45" s="53"/>
      <c r="F45" s="176" t="s">
        <v>10</v>
      </c>
      <c r="G45" s="176"/>
      <c r="H45" s="176"/>
      <c r="I45" s="176"/>
      <c r="J45" s="176"/>
      <c r="K45" s="87"/>
    </row>
    <row r="46" spans="1:12" ht="16.5" thickBot="1" thickTop="1">
      <c r="A46" s="56"/>
      <c r="B46" s="56"/>
      <c r="C46" s="90" t="s">
        <v>42</v>
      </c>
      <c r="D46" s="92">
        <f>Intro!H4</f>
        <v>39447</v>
      </c>
      <c r="E46" s="56"/>
      <c r="F46" s="174">
        <f>Intro!C4</f>
        <v>192.8</v>
      </c>
      <c r="G46" s="175"/>
      <c r="H46" s="91"/>
      <c r="I46" s="174">
        <f>Intro!F4</f>
        <v>241</v>
      </c>
      <c r="J46" s="175"/>
      <c r="K46" s="56"/>
      <c r="L46" s="56"/>
    </row>
    <row r="47" spans="3:5" ht="15" thickTop="1">
      <c r="C47" s="63"/>
      <c r="D47" s="63"/>
      <c r="E47" s="63"/>
    </row>
    <row r="48" spans="3:5" ht="14.25">
      <c r="C48" s="63"/>
      <c r="D48" s="63"/>
      <c r="E48" s="63"/>
    </row>
    <row r="49" spans="3:5" ht="14.25">
      <c r="C49" s="28"/>
      <c r="D49" s="28"/>
      <c r="E49" s="28"/>
    </row>
  </sheetData>
  <sheetProtection/>
  <mergeCells count="33">
    <mergeCell ref="B32:B33"/>
    <mergeCell ref="C30:J30"/>
    <mergeCell ref="J4:K4"/>
    <mergeCell ref="J5:K5"/>
    <mergeCell ref="H25:K26"/>
    <mergeCell ref="B13:B14"/>
    <mergeCell ref="E19:E20"/>
    <mergeCell ref="C32:C33"/>
    <mergeCell ref="C31:D31"/>
    <mergeCell ref="F19:F20"/>
    <mergeCell ref="B2:C2"/>
    <mergeCell ref="E7:F7"/>
    <mergeCell ref="E8:F8"/>
    <mergeCell ref="E9:F9"/>
    <mergeCell ref="B4:I5"/>
    <mergeCell ref="H7:K9"/>
    <mergeCell ref="E31:G31"/>
    <mergeCell ref="E17:G18"/>
    <mergeCell ref="D13:D14"/>
    <mergeCell ref="H32:H33"/>
    <mergeCell ref="H21:K22"/>
    <mergeCell ref="H31:J31"/>
    <mergeCell ref="D32:D33"/>
    <mergeCell ref="I46:J46"/>
    <mergeCell ref="F45:J45"/>
    <mergeCell ref="F32:G32"/>
    <mergeCell ref="I32:J32"/>
    <mergeCell ref="E32:E33"/>
    <mergeCell ref="C12:D12"/>
    <mergeCell ref="F46:G46"/>
    <mergeCell ref="C15:F16"/>
    <mergeCell ref="G19:G20"/>
    <mergeCell ref="C13:C14"/>
  </mergeCells>
  <conditionalFormatting sqref="B34:J44">
    <cfRule type="expression" priority="1" dxfId="0" stopIfTrue="1">
      <formula>(EVEN(ROW())=ROW())</formula>
    </cfRule>
  </conditionalFormatting>
  <conditionalFormatting sqref="E21:G27 B15:B25 C17:D25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 verticalCentered="1"/>
  <pageMargins left="0.3937007874015748" right="0.3937007874015748" top="0.3937007874015748" bottom="0.3937007874015748" header="1.4173228346456694" footer="0"/>
  <pageSetup fitToHeight="1" fitToWidth="1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0"/>
  <sheetViews>
    <sheetView showGridLines="0" zoomScaleSheetLayoutView="100" zoomScalePageLayoutView="0" workbookViewId="0" topLeftCell="A1">
      <selection activeCell="B2" sqref="B2:C2"/>
    </sheetView>
  </sheetViews>
  <sheetFormatPr defaultColWidth="11.19921875" defaultRowHeight="15"/>
  <cols>
    <col min="1" max="1" width="2.59765625" style="22" customWidth="1"/>
    <col min="2" max="2" width="8.09765625" style="22" customWidth="1"/>
    <col min="3" max="10" width="11.09765625" style="22" customWidth="1"/>
    <col min="11" max="11" width="8.5" style="22" customWidth="1"/>
    <col min="12" max="12" width="8.8984375" style="22" customWidth="1"/>
    <col min="13" max="14" width="11" style="22" customWidth="1"/>
    <col min="15" max="15" width="11.09765625" style="22" customWidth="1"/>
    <col min="16" max="16384" width="11" style="22" customWidth="1"/>
  </cols>
  <sheetData>
    <row r="2" spans="2:10" ht="24" customHeight="1">
      <c r="B2" s="201" t="s">
        <v>33</v>
      </c>
      <c r="C2" s="201"/>
      <c r="D2" s="74"/>
      <c r="E2" s="74"/>
      <c r="F2" s="74"/>
      <c r="G2" s="74"/>
      <c r="H2" s="74"/>
      <c r="I2" s="74"/>
      <c r="J2" s="74"/>
    </row>
    <row r="3" ht="10.5" customHeight="1" thickBot="1">
      <c r="B3" s="23"/>
    </row>
    <row r="4" spans="2:10" s="24" customFormat="1" ht="36" customHeight="1" thickTop="1">
      <c r="B4" s="224" t="s">
        <v>38</v>
      </c>
      <c r="C4" s="225"/>
      <c r="D4" s="225"/>
      <c r="E4" s="225"/>
      <c r="F4" s="225"/>
      <c r="G4" s="225"/>
      <c r="H4" s="226"/>
      <c r="I4" s="220" t="s">
        <v>19</v>
      </c>
      <c r="J4" s="221"/>
    </row>
    <row r="5" spans="2:10" s="24" customFormat="1" ht="36" customHeight="1" thickBot="1">
      <c r="B5" s="227"/>
      <c r="C5" s="228"/>
      <c r="D5" s="228"/>
      <c r="E5" s="228"/>
      <c r="F5" s="228"/>
      <c r="G5" s="228"/>
      <c r="H5" s="229"/>
      <c r="I5" s="222">
        <f>Intro!H2</f>
        <v>40543</v>
      </c>
      <c r="J5" s="223"/>
    </row>
    <row r="6" spans="2:8" s="26" customFormat="1" ht="9.75" customHeight="1" thickTop="1">
      <c r="B6" s="25"/>
      <c r="C6" s="25"/>
      <c r="D6" s="25"/>
      <c r="E6" s="25"/>
      <c r="F6" s="25"/>
      <c r="G6" s="25"/>
      <c r="H6" s="25"/>
    </row>
    <row r="7" spans="2:10" s="28" customFormat="1" ht="18" customHeight="1">
      <c r="B7" s="27"/>
      <c r="D7" s="29" t="s">
        <v>4</v>
      </c>
      <c r="E7" s="202">
        <f>Intro!F2</f>
        <v>55.5635</v>
      </c>
      <c r="F7" s="203"/>
      <c r="G7" s="30"/>
      <c r="H7" s="209" t="s">
        <v>32</v>
      </c>
      <c r="I7" s="209"/>
      <c r="J7" s="209"/>
    </row>
    <row r="8" spans="2:10" s="28" customFormat="1" ht="18" customHeight="1">
      <c r="B8" s="27"/>
      <c r="D8" s="29" t="s">
        <v>2</v>
      </c>
      <c r="E8" s="204">
        <f>ROUNDDOWN(E7/12,2)</f>
        <v>4.63</v>
      </c>
      <c r="F8" s="204"/>
      <c r="G8" s="30"/>
      <c r="H8" s="209"/>
      <c r="I8" s="209"/>
      <c r="J8" s="209"/>
    </row>
    <row r="9" spans="2:13" s="28" customFormat="1" ht="18" customHeight="1">
      <c r="B9" s="27"/>
      <c r="D9" s="29" t="s">
        <v>3</v>
      </c>
      <c r="E9" s="204">
        <f>ROUNDDOWN($E$7/12,2)+ROUNDDOWN($E$7/12,2)*0.01-ROUNDDOWN($E$7/12,2)*Intro!$F$7-(ROUNDDOWN($E$7/12,2)+ROUNDDOWN($E$7/12,2)*0.01)*Intro!$F$17*Intro!$F$19-(ROUNDDOWN($E$7/12,2)+ROUNDDOWN($E$7/12,2)*0.01)*Intro!$F$17*Intro!$F$21-(ROUNDDOWN($E$7/12,2)+ROUNDDOWN($E$7/12,2)*0.01-ROUNDDOWN($E$7/12,2)*Intro!$F$7-ROUNDDOWN($E$7/12,2)*0.01*0.05)*0.01</f>
        <v>3.8247179899999995</v>
      </c>
      <c r="F9" s="204"/>
      <c r="G9" s="30"/>
      <c r="H9" s="209"/>
      <c r="I9" s="209"/>
      <c r="J9" s="209"/>
      <c r="M9" s="26"/>
    </row>
    <row r="10" spans="2:7" s="28" customFormat="1" ht="18" customHeight="1">
      <c r="B10" s="27"/>
      <c r="D10" s="77" t="s">
        <v>11</v>
      </c>
      <c r="E10" s="76"/>
      <c r="F10" s="76"/>
      <c r="G10" s="30"/>
    </row>
    <row r="11" spans="2:7" s="28" customFormat="1" ht="30" customHeight="1" thickBot="1">
      <c r="B11" s="27"/>
      <c r="D11" s="77"/>
      <c r="E11" s="76"/>
      <c r="F11" s="76"/>
      <c r="G11" s="30"/>
    </row>
    <row r="12" spans="3:12" ht="19.5" customHeight="1" thickBot="1" thickTop="1">
      <c r="C12" s="181" t="s">
        <v>17</v>
      </c>
      <c r="D12" s="182"/>
      <c r="E12" s="55"/>
      <c r="H12" s="56"/>
      <c r="K12" s="78"/>
      <c r="L12" s="78"/>
    </row>
    <row r="13" spans="2:13" s="28" customFormat="1" ht="19.5" customHeight="1" thickTop="1">
      <c r="B13" s="217" t="s">
        <v>13</v>
      </c>
      <c r="C13" s="190" t="s">
        <v>14</v>
      </c>
      <c r="D13" s="188" t="s">
        <v>15</v>
      </c>
      <c r="H13" s="62"/>
      <c r="K13" s="79"/>
      <c r="L13" s="79"/>
      <c r="M13" s="79"/>
    </row>
    <row r="14" spans="2:4" s="63" customFormat="1" ht="19.5" customHeight="1" thickBot="1">
      <c r="B14" s="218"/>
      <c r="C14" s="230"/>
      <c r="D14" s="233"/>
    </row>
    <row r="15" spans="2:13" s="63" customFormat="1" ht="19.5" customHeight="1" thickTop="1">
      <c r="B15" s="97">
        <v>1</v>
      </c>
      <c r="C15" s="183" t="s">
        <v>47</v>
      </c>
      <c r="D15" s="183"/>
      <c r="E15" s="183"/>
      <c r="F15" s="184"/>
      <c r="K15" s="79"/>
      <c r="L15" s="79"/>
      <c r="M15" s="79"/>
    </row>
    <row r="16" spans="2:6" s="63" customFormat="1" ht="19.5" customHeight="1" thickBot="1">
      <c r="B16" s="98">
        <v>2</v>
      </c>
      <c r="C16" s="185"/>
      <c r="D16" s="185"/>
      <c r="E16" s="186"/>
      <c r="F16" s="187"/>
    </row>
    <row r="17" spans="2:11" s="28" customFormat="1" ht="19.5" customHeight="1" thickTop="1">
      <c r="B17" s="43">
        <v>3</v>
      </c>
      <c r="C17" s="38">
        <f>Indices!F7</f>
        <v>432</v>
      </c>
      <c r="D17" s="96">
        <f>ROUNDDOWN($E$7*C17/12,2)+ROUNDDOWN($E$7*C17/12,2)*0.01-ROUNDDOWN($E$7*C17/12,2)*Intro!$F$7-(ROUNDDOWN($E$7*C17/12,2)+ROUNDDOWN($E$7*C17/12,2)*0.01)*Intro!$F$17*Intro!$F$19-(ROUNDDOWN($E$7*C17/12,2)+ROUNDDOWN($E$7*C17/12,2)*0.01)*Intro!$F$17*Intro!$F$21-(ROUNDDOWN($E$7*C17/12,2)+ROUNDDOWN($E$7*C17/12,2)*0.01-ROUNDDOWN($E$7*C17/12,2)*Intro!$F$7-ROUND($E$7*C17/12*0.01*0.05,2))*0.01-ROUND((($E$7*C17/12)*0.01)*0.05,2)</f>
        <v>1651.3772990399998</v>
      </c>
      <c r="E17" s="231" t="s">
        <v>40</v>
      </c>
      <c r="F17" s="195"/>
      <c r="G17" s="196"/>
      <c r="H17" s="66" t="s">
        <v>16</v>
      </c>
      <c r="I17" s="84"/>
      <c r="J17" s="84"/>
      <c r="K17" s="84"/>
    </row>
    <row r="18" spans="2:11" ht="19.5" customHeight="1" thickBot="1">
      <c r="B18" s="43">
        <v>4</v>
      </c>
      <c r="C18" s="44">
        <f>Indices!F8</f>
        <v>445</v>
      </c>
      <c r="D18" s="65">
        <f>ROUNDDOWN($E$7*C18/12,2)+ROUNDDOWN($E$7*C18/12,2)*0.01-ROUNDDOWN($E$7*C18/12,2)*Intro!$F$7-(ROUNDDOWN($E$7*C18/12,2)+ROUNDDOWN($E$7*C18/12,2)*0.01)*Intro!$F$17*Intro!$F$19-(ROUNDDOWN($E$7*C18/12,2)+ROUNDDOWN($E$7*C18/12,2)*0.01)*Intro!$F$17*Intro!$F$21-(ROUNDDOWN($E$7*C18/12,2)+ROUNDDOWN($E$7*C18/12,2)*0.01-ROUNDDOWN($E$7*C18/12,2)*Intro!$F$7-ROUND($E$7*C18/12*0.01*0.05,2))*0.01-ROUND((($E$7*C18/12)*0.01)*0.05,2)</f>
        <v>1701.0686319599997</v>
      </c>
      <c r="E18" s="232"/>
      <c r="F18" s="197"/>
      <c r="G18" s="198"/>
      <c r="H18" s="85" t="str">
        <f>"Retraite "&amp;Intro!F7*100&amp;" % du traitement brut"</f>
        <v>Retraite 9,54 % du traitement brut</v>
      </c>
      <c r="I18" s="71"/>
      <c r="J18" s="71"/>
      <c r="K18" s="71"/>
    </row>
    <row r="19" spans="2:11" ht="19.5" customHeight="1" thickTop="1">
      <c r="B19" s="43">
        <v>5</v>
      </c>
      <c r="C19" s="44">
        <f>Indices!F9</f>
        <v>458</v>
      </c>
      <c r="D19" s="65">
        <f>ROUNDDOWN($E$7*C19/12,2)+ROUNDDOWN($E$7*C19/12,2)*0.01-ROUNDDOWN($E$7*C19/12,2)*Intro!$F$7-(ROUNDDOWN($E$7*C19/12,2)+ROUNDDOWN($E$7*C19/12,2)*0.01)*Intro!$F$17*Intro!$F$19-(ROUNDDOWN($E$7*C19/12,2)+ROUNDDOWN($E$7*C19/12,2)*0.01)*Intro!$F$17*Intro!$F$21-(ROUNDDOWN($E$7*C19/12,2)+ROUNDDOWN($E$7*C19/12,2)*0.01-ROUNDDOWN($E$7*C19/12,2)*Intro!$F$7-ROUND($E$7*C19/12*0.01*0.05,2))*0.01-ROUND((($E$7*C19/12)*0.01)*0.05,2)</f>
        <v>1750.7682255600005</v>
      </c>
      <c r="E19" s="178" t="s">
        <v>13</v>
      </c>
      <c r="F19" s="179" t="s">
        <v>14</v>
      </c>
      <c r="G19" s="188" t="s">
        <v>15</v>
      </c>
      <c r="H19" s="199" t="s">
        <v>44</v>
      </c>
      <c r="I19" s="200"/>
      <c r="J19" s="200"/>
      <c r="K19" s="200"/>
    </row>
    <row r="20" spans="2:11" ht="19.5" customHeight="1" thickBot="1">
      <c r="B20" s="43">
        <v>6</v>
      </c>
      <c r="C20" s="44">
        <f>Indices!F10</f>
        <v>467</v>
      </c>
      <c r="D20" s="65">
        <f>ROUNDDOWN($E$7*C20/12,2)+ROUNDDOWN($E$7*C20/12,2)*0.01-ROUNDDOWN($E$7*C20/12,2)*Intro!$F$7-(ROUNDDOWN($E$7*C20/12,2)+ROUNDDOWN($E$7*C20/12,2)*0.01)*Intro!$F$17*Intro!$F$19-(ROUNDDOWN($E$7*C20/12,2)+ROUNDDOWN($E$7*C20/12,2)*0.01)*Intro!$F$17*Intro!$F$21-(ROUNDDOWN($E$7*C20/12,2)+ROUNDDOWN($E$7*C20/12,2)*0.01-ROUNDDOWN($E$7*C20/12,2)*Intro!$F$7-ROUND($E$7*C20/12*0.01*0.05,2))*0.01-ROUND((($E$7*C20/12)*0.01)*0.05,2)</f>
        <v>1785.17067912</v>
      </c>
      <c r="E20" s="219"/>
      <c r="F20" s="180"/>
      <c r="G20" s="189"/>
      <c r="H20" s="199"/>
      <c r="I20" s="200"/>
      <c r="J20" s="200"/>
      <c r="K20" s="200"/>
    </row>
    <row r="21" spans="2:11" ht="19.5" customHeight="1" thickTop="1">
      <c r="B21" s="43">
        <v>7</v>
      </c>
      <c r="C21" s="44">
        <f>Indices!F11</f>
        <v>495</v>
      </c>
      <c r="D21" s="65">
        <f>ROUNDDOWN($E$7*C21/12,2)+ROUNDDOWN($E$7*C21/12,2)*0.01-ROUNDDOWN($E$7*C21/12,2)*Intro!$F$7-(ROUNDDOWN($E$7*C21/12,2)+ROUNDDOWN($E$7*C21/12,2)*0.01)*Intro!$F$17*Intro!$F$19-(ROUNDDOWN($E$7*C21/12,2)+ROUNDDOWN($E$7*C21/12,2)*0.01)*Intro!$F$17*Intro!$F$21-(ROUNDDOWN($E$7*C21/12,2)+ROUNDDOWN($E$7*C21/12,2)*0.01-ROUNDDOWN($E$7*C21/12,2)*Intro!$F$7-ROUND($E$7*C21/12*0.01*0.05,2))*0.01-ROUND((($E$7*C21/12)*0.01)*0.05,2)</f>
        <v>1892.2010953199997</v>
      </c>
      <c r="E21" s="67">
        <v>1</v>
      </c>
      <c r="F21" s="68">
        <f>Indices!I5</f>
        <v>495</v>
      </c>
      <c r="G21" s="64">
        <f>ROUNDDOWN($E$7*F21/12,2)+ROUNDDOWN($E$7*F21/12,2)*0.01-ROUNDDOWN($E$7*F21/12,2)*Intro!$F$7-(ROUNDDOWN($E$7*F21/12,2)+ROUNDDOWN($E$7*F21/12,2)*0.01)*Intro!$F$17*Intro!$F$19-(ROUNDDOWN($E$7*F21/12,2)+ROUNDDOWN($E$7*F21/12,2)*0.01)*Intro!$F$17*Intro!$F$21-(ROUNDDOWN($E$7*F21/12,2)+ROUNDDOWN($E$7*F21/12,2)*0.01-ROUNDDOWN($E$7*F21/12,2)*Intro!$F$7-ROUND($E$7*F21/12*0.01*0.05,2))*0.01-ROUND((($E$7*F21/12)*0.01)*0.05,2)</f>
        <v>1892.2010953199997</v>
      </c>
      <c r="H21" s="85" t="str">
        <f>"CRDS "&amp;Intro!F21*100&amp;"% (sur "&amp;Intro!F17*100&amp;"% de tous les revenus, dont IRL)"</f>
        <v>CRDS 0,5% (sur 98,25% de tous les revenus, dont IRL)</v>
      </c>
      <c r="I21" s="86"/>
      <c r="J21" s="86"/>
      <c r="K21" s="71"/>
    </row>
    <row r="22" spans="2:11" ht="19.5" customHeight="1">
      <c r="B22" s="43">
        <v>8</v>
      </c>
      <c r="C22" s="44">
        <f>Indices!F12</f>
        <v>531</v>
      </c>
      <c r="D22" s="65">
        <f>ROUNDDOWN($E$7*C22/12,2)+ROUNDDOWN($E$7*C22/12,2)*0.01-ROUNDDOWN($E$7*C22/12,2)*Intro!$F$7-(ROUNDDOWN($E$7*C22/12,2)+ROUNDDOWN($E$7*C22/12,2)*0.01)*Intro!$F$17*Intro!$F$19-(ROUNDDOWN($E$7*C22/12,2)+ROUNDDOWN($E$7*C22/12,2)*0.01)*Intro!$F$17*Intro!$F$21-(ROUNDDOWN($E$7*C22/12,2)+ROUNDDOWN($E$7*C22/12,2)*0.01-ROUNDDOWN($E$7*C22/12,2)*Intro!$F$7-ROUND($E$7*C22/12*0.01*0.05,2))*0.01-ROUND((($E$7*C22/12)*0.01)*0.05,2)</f>
        <v>2029.8191702399997</v>
      </c>
      <c r="E22" s="69">
        <v>2</v>
      </c>
      <c r="F22" s="70">
        <f>Indices!I6</f>
        <v>560</v>
      </c>
      <c r="G22" s="65">
        <f>ROUNDDOWN($E$7*F22/12,2)+ROUNDDOWN($E$7*F22/12,2)*0.01-ROUNDDOWN($E$7*F22/12,2)*Intro!$F$7-(ROUNDDOWN($E$7*F22/12,2)+ROUNDDOWN($E$7*F22/12,2)*0.01)*Intro!$F$17*Intro!$F$19-(ROUNDDOWN($E$7*F22/12,2)+ROUNDDOWN($E$7*F22/12,2)*0.01)*Intro!$F$17*Intro!$F$21-(ROUNDDOWN($E$7*F22/12,2)+ROUNDDOWN($E$7*F22/12,2)*0.01-ROUNDDOWN($E$7*F22/12,2)*Intro!$F$7-ROUND($E$7*F22/12*0.01*0.05,2))*0.01-ROUND((($E$7*F22/12)*0.01)*0.05,2)</f>
        <v>2140.67428128</v>
      </c>
      <c r="H22" s="85" t="str">
        <f>"CSG "&amp;Intro!F19*100&amp;"% (sur "&amp;Intro!F17*100&amp;"% de tous les revenus, dont IRL)"</f>
        <v>CSG 7,5% (sur 98,25% de tous les revenus, dont IRL)</v>
      </c>
      <c r="I22" s="71"/>
      <c r="J22" s="71"/>
      <c r="K22" s="71"/>
    </row>
    <row r="23" spans="2:11" ht="19.5" customHeight="1">
      <c r="B23" s="43">
        <v>9</v>
      </c>
      <c r="C23" s="44">
        <f>Indices!F13</f>
        <v>567</v>
      </c>
      <c r="D23" s="65">
        <f>ROUNDDOWN($E$7*C23/12,2)+ROUNDDOWN($E$7*C23/12,2)*0.01-ROUNDDOWN($E$7*C23/12,2)*Intro!$F$7-(ROUNDDOWN($E$7*C23/12,2)+ROUNDDOWN($E$7*C23/12,2)*0.01)*Intro!$F$17*Intro!$F$19-(ROUNDDOWN($E$7*C23/12,2)+ROUNDDOWN($E$7*C23/12,2)*0.01)*Intro!$F$17*Intro!$F$21-(ROUNDDOWN($E$7*C23/12,2)+ROUNDDOWN($E$7*C23/12,2)*0.01-ROUNDDOWN($E$7*C23/12,2)*Intro!$F$7-ROUND($E$7*C23/12*0.01*0.05,2))*0.01-ROUND((($E$7*C23/12)*0.01)*0.05,2)</f>
        <v>2167.43724516</v>
      </c>
      <c r="E23" s="69">
        <v>3</v>
      </c>
      <c r="F23" s="70">
        <f>Indices!I7</f>
        <v>601</v>
      </c>
      <c r="G23" s="65">
        <f>ROUNDDOWN($E$7*F23/12,2)+ROUNDDOWN($E$7*F23/12,2)*0.01-ROUNDDOWN($E$7*F23/12,2)*Intro!$F$7-(ROUNDDOWN($E$7*F23/12,2)+ROUNDDOWN($E$7*F23/12,2)*0.01)*Intro!$F$17*Intro!$F$19-(ROUNDDOWN($E$7*F23/12,2)+ROUNDDOWN($E$7*F23/12,2)*0.01)*Intro!$F$17*Intro!$F$21-(ROUNDDOWN($E$7*F23/12,2)+ROUNDDOWN($E$7*F23/12,2)*0.01-ROUNDDOWN($E$7*F23/12,2)*Intro!$F$7-ROUND($E$7*F23/12*0.01*0.05,2))*0.01-ROUND((($E$7*F23/12)*0.01)*0.05,2)</f>
        <v>2297.4059304000007</v>
      </c>
      <c r="H23" s="199" t="s">
        <v>41</v>
      </c>
      <c r="I23" s="200"/>
      <c r="J23" s="200"/>
      <c r="K23" s="200"/>
    </row>
    <row r="24" spans="2:11" ht="19.5" customHeight="1">
      <c r="B24" s="43">
        <v>10</v>
      </c>
      <c r="C24" s="44">
        <f>Indices!F14</f>
        <v>612</v>
      </c>
      <c r="D24" s="65">
        <f>ROUNDDOWN($E$7*C24/12,2)+ROUNDDOWN($E$7*C24/12,2)*0.01-ROUNDDOWN($E$7*C24/12,2)*Intro!$F$7-(ROUNDDOWN($E$7*C24/12,2)+ROUNDDOWN($E$7*C24/12,2)*0.01)*Intro!$F$17*Intro!$F$19-(ROUNDDOWN($E$7*C24/12,2)+ROUNDDOWN($E$7*C24/12,2)*0.01)*Intro!$F$17*Intro!$F$21-(ROUNDDOWN($E$7*C24/12,2)+ROUNDDOWN($E$7*C24/12,2)*0.01-ROUNDDOWN($E$7*C24/12,2)*Intro!$F$7-ROUND($E$7*C24/12*0.01*0.05,2))*0.01-ROUND((($E$7*C24/12)*0.01)*0.05,2)</f>
        <v>2339.44787364</v>
      </c>
      <c r="E24" s="69">
        <v>4</v>
      </c>
      <c r="F24" s="70">
        <f>Indices!I8</f>
        <v>642</v>
      </c>
      <c r="G24" s="65">
        <f>ROUNDDOWN($E$7*F24/12,2)+ROUNDDOWN($E$7*F24/12,2)*0.01-ROUNDDOWN($E$7*F24/12,2)*Intro!$F$7-(ROUNDDOWN($E$7*F24/12,2)+ROUNDDOWN($E$7*F24/12,2)*0.01)*Intro!$F$17*Intro!$F$19-(ROUNDDOWN($E$7*F24/12,2)+ROUNDDOWN($E$7*F24/12,2)*0.01)*Intro!$F$17*Intro!$F$21-(ROUNDDOWN($E$7*F24/12,2)+ROUNDDOWN($E$7*F24/12,2)*0.01-ROUNDDOWN($E$7*F24/12,2)*Intro!$F$7-ROUND($E$7*F24/12*0.01*0.05,2))*0.01-ROUND((($E$7*F24/12)*0.01)*0.05,2)</f>
        <v>2454.12767952</v>
      </c>
      <c r="H24" s="199"/>
      <c r="I24" s="200"/>
      <c r="J24" s="200"/>
      <c r="K24" s="200"/>
    </row>
    <row r="25" spans="2:8" ht="19.5" customHeight="1" thickBot="1">
      <c r="B25" s="48">
        <v>11</v>
      </c>
      <c r="C25" s="49">
        <f>Indices!F15</f>
        <v>658</v>
      </c>
      <c r="D25" s="72">
        <f>ROUNDDOWN($E$7*C25/12,2)+ROUNDDOWN($E$7*C25/12,2)*0.01-ROUNDDOWN($E$7*C25/12,2)*Intro!$F$7-(ROUNDDOWN($E$7*C25/12,2)+ROUNDDOWN($E$7*C25/12,2)*0.01)*Intro!$F$17*Intro!$F$19-(ROUNDDOWN($E$7*C25/12,2)+ROUNDDOWN($E$7*C25/12,2)*0.01)*Intro!$F$17*Intro!$F$21-(ROUNDDOWN($E$7*C25/12,2)+ROUNDDOWN($E$7*C25/12,2)*0.01-ROUNDDOWN($E$7*C25/12,2)*Intro!$F$7-ROUND($E$7*C25/12*0.01*0.05,2))*0.01-ROUND((($E$7*C25/12)*0.01)*0.05,2)</f>
        <v>2515.3013576399994</v>
      </c>
      <c r="E25" s="69">
        <v>5</v>
      </c>
      <c r="F25" s="70">
        <f>Indices!I9</f>
        <v>695</v>
      </c>
      <c r="G25" s="65">
        <f>ROUNDDOWN($E$7*F25/12,2)+ROUNDDOWN($E$7*F25/12,2)*0.01-ROUNDDOWN($E$7*F25/12,2)*Intro!$F$7-(ROUNDDOWN($E$7*F25/12,2)+ROUNDDOWN($E$7*F25/12,2)*0.01)*Intro!$F$17*Intro!$F$19-(ROUNDDOWN($E$7*F25/12,2)+ROUNDDOWN($E$7*F25/12,2)*0.01)*Intro!$F$17*Intro!$F$21-(ROUNDDOWN($E$7*F25/12,2)+ROUNDDOWN($E$7*F25/12,2)*0.01-ROUNDDOWN($E$7*F25/12,2)*Intro!$F$7-ROUND($E$7*F25/12*0.01*0.05,2))*0.01-ROUND((($E$7*F25/12)*0.01)*0.05,2)</f>
        <v>2656.7342274000002</v>
      </c>
      <c r="H25" s="80"/>
    </row>
    <row r="26" spans="5:8" ht="19.5" customHeight="1" thickTop="1">
      <c r="E26" s="43">
        <v>6</v>
      </c>
      <c r="F26" s="70">
        <f>Indices!I10</f>
        <v>741</v>
      </c>
      <c r="G26" s="65">
        <f>ROUNDDOWN($E$7*F26/12,2)+ROUNDDOWN($E$7*F26/12,2)*0.01-ROUNDDOWN($E$7*F26/12,2)*Intro!$F$7-(ROUNDDOWN($E$7*F26/12,2)+ROUNDDOWN($E$7*F26/12,2)*0.01)*Intro!$F$17*Intro!$F$19-(ROUNDDOWN($E$7*F26/12,2)+ROUNDDOWN($E$7*F26/12,2)*0.01)*Intro!$F$17*Intro!$F$21-(ROUNDDOWN($E$7*F26/12,2)+ROUNDDOWN($E$7*F26/12,2)*0.01-ROUNDDOWN($E$7*F26/12,2)*Intro!$F$7-ROUND($E$7*F26/12*0.01*0.05,2))*0.01-ROUND((($E$7*F26/12)*0.01)*0.05,2)</f>
        <v>2832.5695507200003</v>
      </c>
      <c r="H26" s="82"/>
    </row>
    <row r="27" spans="3:8" ht="19.5" customHeight="1" thickBot="1">
      <c r="C27" s="28"/>
      <c r="D27" s="28"/>
      <c r="E27" s="48">
        <v>7</v>
      </c>
      <c r="F27" s="73">
        <f>Indices!I11</f>
        <v>783</v>
      </c>
      <c r="G27" s="72">
        <f>ROUNDDOWN($E$7*F27/12,2)+ROUNDDOWN($E$7*F27/12,2)*0.01-ROUNDDOWN($E$7*F27/12,2)*Intro!$F$7-(ROUNDDOWN($E$7*F27/12,2)+ROUNDDOWN($E$7*F27/12,2)*0.01)*Intro!$F$17*Intro!$F$19-(ROUNDDOWN($E$7*F27/12,2)+ROUNDDOWN($E$7*F27/12,2)*0.01)*Intro!$F$17*Intro!$F$21-(ROUNDDOWN($E$7*F27/12,2)+ROUNDDOWN($E$7*F27/12,2)*0.01-ROUNDDOWN($E$7*F27/12,2)*Intro!$F$7-ROUND($E$7*F27/12*0.01*0.05,2))*0.01-ROUND((($E$7*F27/12)*0.01)*0.05,2)</f>
        <v>2993.1258946800003</v>
      </c>
      <c r="H27" s="83"/>
    </row>
    <row r="28" spans="3:11" ht="15" thickTop="1">
      <c r="C28" s="63"/>
      <c r="D28" s="63"/>
      <c r="G28" s="28"/>
      <c r="K28" s="31" t="s">
        <v>37</v>
      </c>
    </row>
    <row r="29" spans="2:7" s="28" customFormat="1" ht="18" customHeight="1">
      <c r="B29" s="27"/>
      <c r="D29" s="77"/>
      <c r="E29" s="76"/>
      <c r="F29" s="76"/>
      <c r="G29" s="30"/>
    </row>
    <row r="30" s="28" customFormat="1" ht="22.5" customHeight="1" thickBot="1"/>
    <row r="31" spans="2:10" s="33" customFormat="1" ht="19.5" customHeight="1" thickBot="1" thickTop="1">
      <c r="B31" s="32"/>
      <c r="C31" s="181" t="s">
        <v>12</v>
      </c>
      <c r="D31" s="212"/>
      <c r="E31" s="212"/>
      <c r="F31" s="212"/>
      <c r="G31" s="212"/>
      <c r="H31" s="212"/>
      <c r="I31" s="212"/>
      <c r="J31" s="182"/>
    </row>
    <row r="32" spans="2:10" s="33" customFormat="1" ht="19.5" customHeight="1" thickBot="1" thickTop="1">
      <c r="B32" s="32"/>
      <c r="C32" s="192" t="s">
        <v>26</v>
      </c>
      <c r="D32" s="194"/>
      <c r="E32" s="192" t="s">
        <v>0</v>
      </c>
      <c r="F32" s="193"/>
      <c r="G32" s="193"/>
      <c r="H32" s="192" t="s">
        <v>1</v>
      </c>
      <c r="I32" s="193"/>
      <c r="J32" s="194"/>
    </row>
    <row r="33" spans="2:10" s="34" customFormat="1" ht="15" thickTop="1">
      <c r="B33" s="217" t="s">
        <v>13</v>
      </c>
      <c r="C33" s="190" t="s">
        <v>14</v>
      </c>
      <c r="D33" s="234" t="s">
        <v>15</v>
      </c>
      <c r="E33" s="190" t="s">
        <v>14</v>
      </c>
      <c r="F33" s="177" t="s">
        <v>15</v>
      </c>
      <c r="G33" s="178"/>
      <c r="H33" s="179" t="s">
        <v>14</v>
      </c>
      <c r="I33" s="177" t="s">
        <v>15</v>
      </c>
      <c r="J33" s="178"/>
    </row>
    <row r="34" spans="2:10" s="34" customFormat="1" ht="43.5" thickBot="1">
      <c r="B34" s="218"/>
      <c r="C34" s="191"/>
      <c r="D34" s="235"/>
      <c r="E34" s="236"/>
      <c r="F34" s="35" t="s">
        <v>27</v>
      </c>
      <c r="G34" s="35" t="s">
        <v>39</v>
      </c>
      <c r="H34" s="180"/>
      <c r="I34" s="35" t="s">
        <v>27</v>
      </c>
      <c r="J34" s="36" t="s">
        <v>39</v>
      </c>
    </row>
    <row r="35" spans="2:10" ht="19.5" customHeight="1" thickTop="1">
      <c r="B35" s="37">
        <v>1</v>
      </c>
      <c r="C35" s="38">
        <f>Indices!C5</f>
        <v>341</v>
      </c>
      <c r="D35" s="39">
        <f>ROUNDDOWN($E$7*C35/12,2)+ROUNDDOWN($E$7*C35/12,2)*0.01-ROUNDDOWN($E$7*C35/12,2)*Intro!$F$7-(ROUNDDOWN($E$7*C35/12,2)+ROUNDDOWN($E$7*C35/12,2)*0.01)*Intro!$F$17*Intro!$F$19-(ROUNDDOWN($E$7*C35/12,2)+ROUNDDOWN($E$7*C35/12,2)*0.01)*Intro!$F$17*Intro!$F$21-(ROUNDDOWN($E$7*C35/12,2)+ROUNDDOWN($E$7*C35/12,2)*0.01-ROUNDDOWN($E$7*C35/12,2)*Intro!$F$7-ROUND($E$7*C35/12*0.01*0.05,2))*0.01-ROUND((($E$7*C35/12)*0.01)*0.05,2)</f>
        <v>1303.51318656</v>
      </c>
      <c r="E35" s="40">
        <f>C35</f>
        <v>341</v>
      </c>
      <c r="F35" s="41">
        <f>ROUNDDOWN($E$7*E35/12,2)+ROUNDDOWN($E$7*E35/12,2)*0.01-ROUNDDOWN($E$7*E35/12,2)*Intro!$F$7-(ROUNDDOWN($E$7*E35/12,2)+ROUNDDOWN($E$7*E35/12,2)*0.01+ROUNDDOWN($E$47,2))*Intro!$F$17*Intro!$F$19-(ROUNDDOWN($E$7*E35/12,2)+ROUNDDOWN($E$7*E35/12,2)*0.01+ROUNDDOWN($E$47,2))*Intro!$F$17*Intro!$F$21-(ROUNDDOWN($E$7*E35/12,2)+ROUNDDOWN($E$7*E35/12,2)*0.01-ROUNDDOWN($E$7*E35/12,2)*Intro!$F$7-ROUND((($E$7*E35/12)*0.01+$E$47)*0.05,2))*0.01-ROUND((($E$7*E35/12)*0.01+$E$47)*0.05,2)</f>
        <v>1278.81550656</v>
      </c>
      <c r="G35" s="41">
        <f aca="true" t="shared" si="0" ref="G35:G45">F35+$E$47</f>
        <v>1471.6155065599999</v>
      </c>
      <c r="H35" s="40">
        <f>C35</f>
        <v>341</v>
      </c>
      <c r="I35" s="41">
        <f>ROUNDDOWN($E$7*H35/12,2)+ROUNDDOWN($E$7*H35/12,2)*0.01-ROUNDDOWN($E$7*H35/12,2)*Intro!$F$7-(ROUNDDOWN($E$7*H35/12,2)+ROUNDDOWN($E$7*H35/12,2)*0.01+ROUNDDOWN($H$47,2))*Intro!$F$17*Intro!$F$19-(ROUNDDOWN($E$7*H35/12,2)+ROUNDDOWN($E$7*H35/12,2)*0.01+ROUNDDOWN($H$47,2))*Intro!$F$17*Intro!$F$21-(ROUNDDOWN($E$7*H35/12,2)+ROUNDDOWN($E$7*H35/12,2)*0.01-ROUNDDOWN($E$7*H35/12,2)*Intro!$F$7-ROUND((($E$7*H35/12)*0.01+$H$47)*0.05,2))*0.01-ROUND((($E$7*H35/12)*0.01+$H$47)*0.05,2)</f>
        <v>1272.64108656</v>
      </c>
      <c r="J35" s="42">
        <f aca="true" t="shared" si="1" ref="J35:J45">I35+$H$47</f>
        <v>1513.64108656</v>
      </c>
    </row>
    <row r="36" spans="2:10" ht="19.5" customHeight="1">
      <c r="B36" s="43">
        <v>2</v>
      </c>
      <c r="C36" s="44">
        <f>Indices!C6</f>
        <v>357</v>
      </c>
      <c r="D36" s="45">
        <f>ROUNDDOWN($E$7*C36/12,2)+ROUNDDOWN($E$7*C36/12,2)*0.01-ROUNDDOWN($E$7*C36/12,2)*Intro!$F$7-(ROUNDDOWN($E$7*C36/12,2)+ROUNDDOWN($E$7*C36/12,2)*0.01)*Intro!$F$17*Intro!$F$19-(ROUNDDOWN($E$7*C36/12,2)+ROUNDDOWN($E$7*C36/12,2)*0.01)*Intro!$F$17*Intro!$F$21-(ROUNDDOWN($E$7*C36/12,2)+ROUNDDOWN($E$7*C36/12,2)*0.01-ROUNDDOWN($E$7*C36/12,2)*Intro!$F$7-ROUND($E$7*C36/12*0.01*0.05,2))*0.01-ROUND((($E$7*C36/12)*0.01)*0.05,2)</f>
        <v>1364.67696468</v>
      </c>
      <c r="E36" s="44">
        <f aca="true" t="shared" si="2" ref="E36:E45">C36</f>
        <v>357</v>
      </c>
      <c r="F36" s="46">
        <f>ROUNDDOWN($E$7*E36/12,2)+ROUNDDOWN($E$7*E36/12,2)*0.01-ROUNDDOWN($E$7*E36/12,2)*Intro!$F$7-(ROUNDDOWN($E$7*E36/12,2)+ROUNDDOWN($E$7*E36/12,2)*0.01+ROUNDDOWN($E$47,2))*Intro!$F$17*Intro!$F$19-(ROUNDDOWN($E$7*E36/12,2)+ROUNDDOWN($E$7*E36/12,2)*0.01+ROUNDDOWN($E$47,2))*Intro!$F$17*Intro!$F$21-(ROUNDDOWN($E$7*E36/12,2)+ROUNDDOWN($E$7*E36/12,2)*0.01-ROUNDDOWN($E$7*E36/12,2)*Intro!$F$7-ROUND((($E$7*E36/12)*0.01+$E$47)*0.05,2))*0.01-ROUND((($E$7*E36/12)*0.01+$E$47)*0.05,2)</f>
        <v>1339.97928468</v>
      </c>
      <c r="G36" s="46">
        <f t="shared" si="0"/>
        <v>1532.77928468</v>
      </c>
      <c r="H36" s="44">
        <f aca="true" t="shared" si="3" ref="H36:H45">C36</f>
        <v>357</v>
      </c>
      <c r="I36" s="46">
        <f>ROUNDDOWN($E$7*H36/12,2)+ROUNDDOWN($E$7*H36/12,2)*0.01-ROUNDDOWN($E$7*H36/12,2)*Intro!$F$7-(ROUNDDOWN($E$7*H36/12,2)+ROUNDDOWN($E$7*H36/12,2)*0.01+ROUNDDOWN($H$47,2))*Intro!$F$17*Intro!$F$19-(ROUNDDOWN($E$7*H36/12,2)+ROUNDDOWN($E$7*H36/12,2)*0.01+ROUNDDOWN($H$47,2))*Intro!$F$17*Intro!$F$21-(ROUNDDOWN($E$7*H36/12,2)+ROUNDDOWN($E$7*H36/12,2)*0.01-ROUNDDOWN($E$7*H36/12,2)*Intro!$F$7-ROUND((($E$7*H36/12)*0.01+$H$47)*0.05,2))*0.01-ROUND((($E$7*H36/12)*0.01+$H$47)*0.05,2)</f>
        <v>1333.8048646799998</v>
      </c>
      <c r="J36" s="47">
        <f t="shared" si="1"/>
        <v>1574.8048646799998</v>
      </c>
    </row>
    <row r="37" spans="2:10" ht="19.5" customHeight="1">
      <c r="B37" s="43">
        <v>3</v>
      </c>
      <c r="C37" s="44">
        <f>Indices!C7</f>
        <v>366</v>
      </c>
      <c r="D37" s="45">
        <f>ROUNDDOWN($E$7*C37/12,2)+ROUNDDOWN($E$7*C37/12,2)*0.01-ROUNDDOWN($E$7*C37/12,2)*Intro!$F$7-(ROUNDDOWN($E$7*C37/12,2)+ROUNDDOWN($E$7*C37/12,2)*0.01)*Intro!$F$17*Intro!$F$19-(ROUNDDOWN($E$7*C37/12,2)+ROUNDDOWN($E$7*C37/12,2)*0.01)*Intro!$F$17*Intro!$F$21-(ROUNDDOWN($E$7*C37/12,2)+ROUNDDOWN($E$7*C37/12,2)*0.01-ROUNDDOWN($E$7*C37/12,2)*Intro!$F$7-ROUND($E$7*C37/12*0.01*0.05,2))*0.01-ROUND((($E$7*C37/12)*0.01)*0.05,2)</f>
        <v>1399.0794182400002</v>
      </c>
      <c r="E37" s="44">
        <f t="shared" si="2"/>
        <v>366</v>
      </c>
      <c r="F37" s="46">
        <f>ROUNDDOWN($E$7*E37/12,2)+ROUNDDOWN($E$7*E37/12,2)*0.01-ROUNDDOWN($E$7*E37/12,2)*Intro!$F$7-(ROUNDDOWN($E$7*E37/12,2)+ROUNDDOWN($E$7*E37/12,2)*0.01+ROUNDDOWN($E$47,2))*Intro!$F$17*Intro!$F$19-(ROUNDDOWN($E$7*E37/12,2)+ROUNDDOWN($E$7*E37/12,2)*0.01+ROUNDDOWN($E$47,2))*Intro!$F$17*Intro!$F$21-(ROUNDDOWN($E$7*E37/12,2)+ROUNDDOWN($E$7*E37/12,2)*0.01-ROUNDDOWN($E$7*E37/12,2)*Intro!$F$7-ROUND((($E$7*E37/12)*0.01+$E$47)*0.05,2))*0.01-ROUND((($E$7*E37/12)*0.01+$E$47)*0.05,2)</f>
        <v>1374.38173824</v>
      </c>
      <c r="G37" s="46">
        <f t="shared" si="0"/>
        <v>1567.18173824</v>
      </c>
      <c r="H37" s="44">
        <f t="shared" si="3"/>
        <v>366</v>
      </c>
      <c r="I37" s="46">
        <f>ROUNDDOWN($E$7*H37/12,2)+ROUNDDOWN($E$7*H37/12,2)*0.01-ROUNDDOWN($E$7*H37/12,2)*Intro!$F$7-(ROUNDDOWN($E$7*H37/12,2)+ROUNDDOWN($E$7*H37/12,2)*0.01+ROUNDDOWN($H$47,2))*Intro!$F$17*Intro!$F$19-(ROUNDDOWN($E$7*H37/12,2)+ROUNDDOWN($E$7*H37/12,2)*0.01+ROUNDDOWN($H$47,2))*Intro!$F$17*Intro!$F$21-(ROUNDDOWN($E$7*H37/12,2)+ROUNDDOWN($E$7*H37/12,2)*0.01-ROUNDDOWN($E$7*H37/12,2)*Intro!$F$7-ROUND((($E$7*H37/12)*0.01+$H$47)*0.05,2))*0.01-ROUND((($E$7*H37/12)*0.01+$H$47)*0.05,2)</f>
        <v>1368.20731824</v>
      </c>
      <c r="J37" s="47">
        <f t="shared" si="1"/>
        <v>1609.20731824</v>
      </c>
    </row>
    <row r="38" spans="2:10" ht="19.5" customHeight="1">
      <c r="B38" s="43">
        <v>4</v>
      </c>
      <c r="C38" s="44">
        <f>Indices!C8</f>
        <v>373</v>
      </c>
      <c r="D38" s="45">
        <f>ROUNDDOWN($E$7*C38/12,2)+ROUNDDOWN($E$7*C38/12,2)*0.01-ROUNDDOWN($E$7*C38/12,2)*Intro!$F$7-(ROUNDDOWN($E$7*C38/12,2)+ROUNDDOWN($E$7*C38/12,2)*0.01)*Intro!$F$17*Intro!$F$19-(ROUNDDOWN($E$7*C38/12,2)+ROUNDDOWN($E$7*C38/12,2)*0.01)*Intro!$F$17*Intro!$F$21-(ROUNDDOWN($E$7*C38/12,2)+ROUNDDOWN($E$7*C38/12,2)*0.01-ROUNDDOWN($E$7*C38/12,2)*Intro!$F$7-ROUND($E$7*C38/12*0.01*0.05,2))*0.01-ROUND((($E$7*C38/12)*0.01)*0.05,2)</f>
        <v>1425.8423821200001</v>
      </c>
      <c r="E38" s="44">
        <f t="shared" si="2"/>
        <v>373</v>
      </c>
      <c r="F38" s="46">
        <f>ROUNDDOWN($E$7*E38/12,2)+ROUNDDOWN($E$7*E38/12,2)*0.01-ROUNDDOWN($E$7*E38/12,2)*Intro!$F$7-(ROUNDDOWN($E$7*E38/12,2)+ROUNDDOWN($E$7*E38/12,2)*0.01+ROUNDDOWN($E$47,2))*Intro!$F$17*Intro!$F$19-(ROUNDDOWN($E$7*E38/12,2)+ROUNDDOWN($E$7*E38/12,2)*0.01+ROUNDDOWN($E$47,2))*Intro!$F$17*Intro!$F$21-(ROUNDDOWN($E$7*E38/12,2)+ROUNDDOWN($E$7*E38/12,2)*0.01-ROUNDDOWN($E$7*E38/12,2)*Intro!$F$7-ROUND((($E$7*E38/12)*0.01+$E$47)*0.05,2))*0.01-ROUND((($E$7*E38/12)*0.01+$E$47)*0.05,2)</f>
        <v>1401.14470212</v>
      </c>
      <c r="G38" s="46">
        <f t="shared" si="0"/>
        <v>1593.9447021199999</v>
      </c>
      <c r="H38" s="44">
        <f t="shared" si="3"/>
        <v>373</v>
      </c>
      <c r="I38" s="46">
        <f>ROUNDDOWN($E$7*H38/12,2)+ROUNDDOWN($E$7*H38/12,2)*0.01-ROUNDDOWN($E$7*H38/12,2)*Intro!$F$7-(ROUNDDOWN($E$7*H38/12,2)+ROUNDDOWN($E$7*H38/12,2)*0.01+ROUNDDOWN($H$47,2))*Intro!$F$17*Intro!$F$19-(ROUNDDOWN($E$7*H38/12,2)+ROUNDDOWN($E$7*H38/12,2)*0.01+ROUNDDOWN($H$47,2))*Intro!$F$17*Intro!$F$21-(ROUNDDOWN($E$7*H38/12,2)+ROUNDDOWN($E$7*H38/12,2)*0.01-ROUNDDOWN($E$7*H38/12,2)*Intro!$F$7-ROUND((($E$7*H38/12)*0.01+$H$47)*0.05,2))*0.01-ROUND((($E$7*H38/12)*0.01+$H$47)*0.05,2)</f>
        <v>1394.9702821199996</v>
      </c>
      <c r="J38" s="47">
        <f t="shared" si="1"/>
        <v>1635.9702821199996</v>
      </c>
    </row>
    <row r="39" spans="2:10" ht="19.5" customHeight="1">
      <c r="B39" s="43">
        <v>5</v>
      </c>
      <c r="C39" s="44">
        <f>Indices!C9</f>
        <v>383</v>
      </c>
      <c r="D39" s="45">
        <f>ROUNDDOWN($E$7*C39/12,2)+ROUNDDOWN($E$7*C39/12,2)*0.01-ROUNDDOWN($E$7*C39/12,2)*Intro!$F$7-(ROUNDDOWN($E$7*C39/12,2)+ROUNDDOWN($E$7*C39/12,2)*0.01)*Intro!$F$17*Intro!$F$19-(ROUNDDOWN($E$7*C39/12,2)+ROUNDDOWN($E$7*C39/12,2)*0.01)*Intro!$F$17*Intro!$F$21-(ROUNDDOWN($E$7*C39/12,2)+ROUNDDOWN($E$7*C39/12,2)*0.01-ROUNDDOWN($E$7*C39/12,2)*Intro!$F$7-ROUND($E$7*C39/12*0.01*0.05,2))*0.01-ROUND((($E$7*C39/12)*0.01)*0.05,2)</f>
        <v>1464.0678911999998</v>
      </c>
      <c r="E39" s="44">
        <f t="shared" si="2"/>
        <v>383</v>
      </c>
      <c r="F39" s="46">
        <f>ROUNDDOWN($E$7*E39/12,2)+ROUNDDOWN($E$7*E39/12,2)*0.01-ROUNDDOWN($E$7*E39/12,2)*Intro!$F$7-(ROUNDDOWN($E$7*E39/12,2)+ROUNDDOWN($E$7*E39/12,2)*0.01+ROUNDDOWN($E$47,2))*Intro!$F$17*Intro!$F$19-(ROUNDDOWN($E$7*E39/12,2)+ROUNDDOWN($E$7*E39/12,2)*0.01+ROUNDDOWN($E$47,2))*Intro!$F$17*Intro!$F$21-(ROUNDDOWN($E$7*E39/12,2)+ROUNDDOWN($E$7*E39/12,2)*0.01-ROUNDDOWN($E$7*E39/12,2)*Intro!$F$7-ROUND((($E$7*E39/12)*0.01+$E$47)*0.05,2))*0.01-ROUND((($E$7*E39/12)*0.01+$E$47)*0.05,2)</f>
        <v>1439.3702112</v>
      </c>
      <c r="G39" s="46">
        <f t="shared" si="0"/>
        <v>1632.1702112</v>
      </c>
      <c r="H39" s="44">
        <f t="shared" si="3"/>
        <v>383</v>
      </c>
      <c r="I39" s="46">
        <f>ROUNDDOWN($E$7*H39/12,2)+ROUNDDOWN($E$7*H39/12,2)*0.01-ROUNDDOWN($E$7*H39/12,2)*Intro!$F$7-(ROUNDDOWN($E$7*H39/12,2)+ROUNDDOWN($E$7*H39/12,2)*0.01+ROUNDDOWN($H$47,2))*Intro!$F$17*Intro!$F$19-(ROUNDDOWN($E$7*H39/12,2)+ROUNDDOWN($E$7*H39/12,2)*0.01+ROUNDDOWN($H$47,2))*Intro!$F$17*Intro!$F$21-(ROUNDDOWN($E$7*H39/12,2)+ROUNDDOWN($E$7*H39/12,2)*0.01-ROUNDDOWN($E$7*H39/12,2)*Intro!$F$7-ROUND((($E$7*H39/12)*0.01+$H$47)*0.05,2))*0.01-ROUND((($E$7*H39/12)*0.01+$H$47)*0.05,2)</f>
        <v>1433.1957912</v>
      </c>
      <c r="J39" s="47">
        <f t="shared" si="1"/>
        <v>1674.1957912</v>
      </c>
    </row>
    <row r="40" spans="2:10" ht="19.5" customHeight="1">
      <c r="B40" s="43">
        <v>6</v>
      </c>
      <c r="C40" s="44">
        <f>Indices!C10</f>
        <v>390</v>
      </c>
      <c r="D40" s="45">
        <f>ROUNDDOWN($E$7*C40/12,2)+ROUNDDOWN($E$7*C40/12,2)*0.01-ROUNDDOWN($E$7*C40/12,2)*Intro!$F$7-(ROUNDDOWN($E$7*C40/12,2)+ROUNDDOWN($E$7*C40/12,2)*0.01)*Intro!$F$17*Intro!$F$19-(ROUNDDOWN($E$7*C40/12,2)+ROUNDDOWN($E$7*C40/12,2)*0.01)*Intro!$F$17*Intro!$F$21-(ROUNDDOWN($E$7*C40/12,2)+ROUNDDOWN($E$7*C40/12,2)*0.01-ROUNDDOWN($E$7*C40/12,2)*Intro!$F$7-ROUND($E$7*C40/12*0.01*0.05,2))*0.01-ROUND((($E$7*C40/12)*0.01)*0.05,2)</f>
        <v>1490.8308550799995</v>
      </c>
      <c r="E40" s="44">
        <f t="shared" si="2"/>
        <v>390</v>
      </c>
      <c r="F40" s="46">
        <f>ROUNDDOWN($E$7*E40/12,2)+ROUNDDOWN($E$7*E40/12,2)*0.01-ROUNDDOWN($E$7*E40/12,2)*Intro!$F$7-(ROUNDDOWN($E$7*E40/12,2)+ROUNDDOWN($E$7*E40/12,2)*0.01+ROUNDDOWN($E$47,2))*Intro!$F$17*Intro!$F$19-(ROUNDDOWN($E$7*E40/12,2)+ROUNDDOWN($E$7*E40/12,2)*0.01+ROUNDDOWN($E$47,2))*Intro!$F$17*Intro!$F$21-(ROUNDDOWN($E$7*E40/12,2)+ROUNDDOWN($E$7*E40/12,2)*0.01-ROUNDDOWN($E$7*E40/12,2)*Intro!$F$7-ROUND((($E$7*E40/12)*0.01+$E$47)*0.05,2))*0.01-ROUND((($E$7*E40/12)*0.01+$E$47)*0.05,2)</f>
        <v>1466.13317508</v>
      </c>
      <c r="G40" s="46">
        <f t="shared" si="0"/>
        <v>1658.93317508</v>
      </c>
      <c r="H40" s="44">
        <f t="shared" si="3"/>
        <v>390</v>
      </c>
      <c r="I40" s="46">
        <f>ROUNDDOWN($E$7*H40/12,2)+ROUNDDOWN($E$7*H40/12,2)*0.01-ROUNDDOWN($E$7*H40/12,2)*Intro!$F$7-(ROUNDDOWN($E$7*H40/12,2)+ROUNDDOWN($E$7*H40/12,2)*0.01+ROUNDDOWN($H$47,2))*Intro!$F$17*Intro!$F$19-(ROUNDDOWN($E$7*H40/12,2)+ROUNDDOWN($E$7*H40/12,2)*0.01+ROUNDDOWN($H$47,2))*Intro!$F$17*Intro!$F$21-(ROUNDDOWN($E$7*H40/12,2)+ROUNDDOWN($E$7*H40/12,2)*0.01-ROUNDDOWN($E$7*H40/12,2)*Intro!$F$7-ROUND((($E$7*H40/12)*0.01+$H$47)*0.05,2))*0.01-ROUND((($E$7*H40/12)*0.01+$H$47)*0.05,2)</f>
        <v>1459.9587550799997</v>
      </c>
      <c r="J40" s="47">
        <f t="shared" si="1"/>
        <v>1700.9587550799997</v>
      </c>
    </row>
    <row r="41" spans="2:10" ht="19.5" customHeight="1">
      <c r="B41" s="43">
        <v>7</v>
      </c>
      <c r="C41" s="44">
        <f>Indices!C11</f>
        <v>399</v>
      </c>
      <c r="D41" s="45">
        <f>ROUNDDOWN($E$7*C41/12,2)+ROUNDDOWN($E$7*C41/12,2)*0.01-ROUNDDOWN($E$7*C41/12,2)*Intro!$F$7-(ROUNDDOWN($E$7*C41/12,2)+ROUNDDOWN($E$7*C41/12,2)*0.01)*Intro!$F$17*Intro!$F$19-(ROUNDDOWN($E$7*C41/12,2)+ROUNDDOWN($E$7*C41/12,2)*0.01)*Intro!$F$17*Intro!$F$21-(ROUNDDOWN($E$7*C41/12,2)+ROUNDDOWN($E$7*C41/12,2)*0.01-ROUNDDOWN($E$7*C41/12,2)*Intro!$F$7-ROUND($E$7*C41/12*0.01*0.05,2))*0.01-ROUND((($E$7*C41/12)*0.01)*0.05,2)</f>
        <v>1525.23330864</v>
      </c>
      <c r="E41" s="44">
        <f t="shared" si="2"/>
        <v>399</v>
      </c>
      <c r="F41" s="46">
        <f>ROUNDDOWN($E$7*E41/12,2)+ROUNDDOWN($E$7*E41/12,2)*0.01-ROUNDDOWN($E$7*E41/12,2)*Intro!$F$7-(ROUNDDOWN($E$7*E41/12,2)+ROUNDDOWN($E$7*E41/12,2)*0.01+ROUNDDOWN($E$47,2))*Intro!$F$17*Intro!$F$19-(ROUNDDOWN($E$7*E41/12,2)+ROUNDDOWN($E$7*E41/12,2)*0.01+ROUNDDOWN($E$47,2))*Intro!$F$17*Intro!$F$21-(ROUNDDOWN($E$7*E41/12,2)+ROUNDDOWN($E$7*E41/12,2)*0.01-ROUNDDOWN($E$7*E41/12,2)*Intro!$F$7-ROUND((($E$7*E41/12)*0.01+$E$47)*0.05,2))*0.01-ROUND((($E$7*E41/12)*0.01+$E$47)*0.05,2)</f>
        <v>1500.53562864</v>
      </c>
      <c r="G41" s="46">
        <f t="shared" si="0"/>
        <v>1693.3356286399999</v>
      </c>
      <c r="H41" s="44">
        <f t="shared" si="3"/>
        <v>399</v>
      </c>
      <c r="I41" s="46">
        <f>ROUNDDOWN($E$7*H41/12,2)+ROUNDDOWN($E$7*H41/12,2)*0.01-ROUNDDOWN($E$7*H41/12,2)*Intro!$F$7-(ROUNDDOWN($E$7*H41/12,2)+ROUNDDOWN($E$7*H41/12,2)*0.01+ROUNDDOWN($H$47,2))*Intro!$F$17*Intro!$F$19-(ROUNDDOWN($E$7*H41/12,2)+ROUNDDOWN($E$7*H41/12,2)*0.01+ROUNDDOWN($H$47,2))*Intro!$F$17*Intro!$F$21-(ROUNDDOWN($E$7*H41/12,2)+ROUNDDOWN($E$7*H41/12,2)*0.01-ROUNDDOWN($E$7*H41/12,2)*Intro!$F$7-ROUND((($E$7*H41/12)*0.01+$H$47)*0.05,2))*0.01-ROUND((($E$7*H41/12)*0.01+$H$47)*0.05,2)</f>
        <v>1494.3612086399999</v>
      </c>
      <c r="J41" s="47">
        <f t="shared" si="1"/>
        <v>1735.3612086399999</v>
      </c>
    </row>
    <row r="42" spans="2:10" ht="19.5" customHeight="1">
      <c r="B42" s="43">
        <v>8</v>
      </c>
      <c r="C42" s="44">
        <f>Indices!C12</f>
        <v>420</v>
      </c>
      <c r="D42" s="45">
        <f>ROUNDDOWN($E$7*C42/12,2)+ROUNDDOWN($E$7*C42/12,2)*0.01-ROUNDDOWN($E$7*C42/12,2)*Intro!$F$7-(ROUNDDOWN($E$7*C42/12,2)+ROUNDDOWN($E$7*C42/12,2)*0.01)*Intro!$F$17*Intro!$F$19-(ROUNDDOWN($E$7*C42/12,2)+ROUNDDOWN($E$7*C42/12,2)*0.01)*Intro!$F$17*Intro!$F$21-(ROUNDDOWN($E$7*C42/12,2)+ROUNDDOWN($E$7*C42/12,2)*0.01-ROUNDDOWN($E$7*C42/12,2)*Intro!$F$7-ROUND($E$7*C42/12*0.01*0.05,2))*0.01-ROUND((($E$7*C42/12)*0.01)*0.05,2)</f>
        <v>1605.51066096</v>
      </c>
      <c r="E42" s="44">
        <f t="shared" si="2"/>
        <v>420</v>
      </c>
      <c r="F42" s="46">
        <f>ROUNDDOWN($E$7*E42/12,2)+ROUNDDOWN($E$7*E42/12,2)*0.01-ROUNDDOWN($E$7*E42/12,2)*Intro!$F$7-(ROUNDDOWN($E$7*E42/12,2)+ROUNDDOWN($E$7*E42/12,2)*0.01+ROUNDDOWN($E$47,2))*Intro!$F$17*Intro!$F$19-(ROUNDDOWN($E$7*E42/12,2)+ROUNDDOWN($E$7*E42/12,2)*0.01+ROUNDDOWN($E$47,2))*Intro!$F$17*Intro!$F$21-(ROUNDDOWN($E$7*E42/12,2)+ROUNDDOWN($E$7*E42/12,2)*0.01-ROUNDDOWN($E$7*E42/12,2)*Intro!$F$7-ROUND((($E$7*E42/12)*0.01+$E$47)*0.05,2))*0.01-ROUND((($E$7*E42/12)*0.01+$E$47)*0.05,2)</f>
        <v>1580.8129809600002</v>
      </c>
      <c r="G42" s="46">
        <f t="shared" si="0"/>
        <v>1773.6129809600002</v>
      </c>
      <c r="H42" s="44">
        <f t="shared" si="3"/>
        <v>420</v>
      </c>
      <c r="I42" s="46">
        <f>ROUNDDOWN($E$7*H42/12,2)+ROUNDDOWN($E$7*H42/12,2)*0.01-ROUNDDOWN($E$7*H42/12,2)*Intro!$F$7-(ROUNDDOWN($E$7*H42/12,2)+ROUNDDOWN($E$7*H42/12,2)*0.01+ROUNDDOWN($H$47,2))*Intro!$F$17*Intro!$F$19-(ROUNDDOWN($E$7*H42/12,2)+ROUNDDOWN($E$7*H42/12,2)*0.01+ROUNDDOWN($H$47,2))*Intro!$F$17*Intro!$F$21-(ROUNDDOWN($E$7*H42/12,2)+ROUNDDOWN($E$7*H42/12,2)*0.01-ROUNDDOWN($E$7*H42/12,2)*Intro!$F$7-ROUND((($E$7*H42/12)*0.01+$H$47)*0.05,2))*0.01-ROUND((($E$7*H42/12)*0.01+$H$47)*0.05,2)</f>
        <v>1574.63856096</v>
      </c>
      <c r="J42" s="47">
        <f t="shared" si="1"/>
        <v>1815.63856096</v>
      </c>
    </row>
    <row r="43" spans="2:10" ht="19.5" customHeight="1">
      <c r="B43" s="43">
        <v>9</v>
      </c>
      <c r="C43" s="44">
        <f>Indices!C13</f>
        <v>441</v>
      </c>
      <c r="D43" s="45">
        <f>ROUNDDOWN($E$7*C43/12,2)+ROUNDDOWN($E$7*C43/12,2)*0.01-ROUNDDOWN($E$7*C43/12,2)*Intro!$F$7-(ROUNDDOWN($E$7*C43/12,2)+ROUNDDOWN($E$7*C43/12,2)*0.01)*Intro!$F$17*Intro!$F$19-(ROUNDDOWN($E$7*C43/12,2)+ROUNDDOWN($E$7*C43/12,2)*0.01)*Intro!$F$17*Intro!$F$21-(ROUNDDOWN($E$7*C43/12,2)+ROUNDDOWN($E$7*C43/12,2)*0.01-ROUNDDOWN($E$7*C43/12,2)*Intro!$F$7-ROUND($E$7*C43/12*0.01*0.05,2))*0.01-ROUND((($E$7*C43/12)*0.01)*0.05,2)</f>
        <v>1685.7797526000002</v>
      </c>
      <c r="E43" s="44">
        <f t="shared" si="2"/>
        <v>441</v>
      </c>
      <c r="F43" s="46">
        <f>ROUNDDOWN($E$7*E43/12,2)+ROUNDDOWN($E$7*E43/12,2)*0.01-ROUNDDOWN($E$7*E43/12,2)*Intro!$F$7-(ROUNDDOWN($E$7*E43/12,2)+ROUNDDOWN($E$7*E43/12,2)*0.01+ROUNDDOWN($E$47,2))*Intro!$F$17*Intro!$F$19-(ROUNDDOWN($E$7*E43/12,2)+ROUNDDOWN($E$7*E43/12,2)*0.01+ROUNDDOWN($E$47,2))*Intro!$F$17*Intro!$F$21-(ROUNDDOWN($E$7*E43/12,2)+ROUNDDOWN($E$7*E43/12,2)*0.01-ROUNDDOWN($E$7*E43/12,2)*Intro!$F$7-ROUND((($E$7*E43/12)*0.01+$E$47)*0.05,2))*0.01-ROUND((($E$7*E43/12)*0.01+$E$47)*0.05,2)</f>
        <v>1661.0820726</v>
      </c>
      <c r="G43" s="46">
        <f t="shared" si="0"/>
        <v>1853.8820726</v>
      </c>
      <c r="H43" s="44">
        <f t="shared" si="3"/>
        <v>441</v>
      </c>
      <c r="I43" s="46">
        <f>ROUNDDOWN($E$7*H43/12,2)+ROUNDDOWN($E$7*H43/12,2)*0.01-ROUNDDOWN($E$7*H43/12,2)*Intro!$F$7-(ROUNDDOWN($E$7*H43/12,2)+ROUNDDOWN($E$7*H43/12,2)*0.01+ROUNDDOWN($H$47,2))*Intro!$F$17*Intro!$F$19-(ROUNDDOWN($E$7*H43/12,2)+ROUNDDOWN($E$7*H43/12,2)*0.01+ROUNDDOWN($H$47,2))*Intro!$F$17*Intro!$F$21-(ROUNDDOWN($E$7*H43/12,2)+ROUNDDOWN($E$7*H43/12,2)*0.01-ROUNDDOWN($E$7*H43/12,2)*Intro!$F$7-ROUND((($E$7*H43/12)*0.01+$H$47)*0.05,2))*0.01-ROUND((($E$7*H43/12)*0.01+$H$47)*0.05,2)</f>
        <v>1654.9076526000001</v>
      </c>
      <c r="J43" s="47">
        <f t="shared" si="1"/>
        <v>1895.9076526000001</v>
      </c>
    </row>
    <row r="44" spans="2:10" ht="19.5" customHeight="1">
      <c r="B44" s="43">
        <v>10</v>
      </c>
      <c r="C44" s="44">
        <f>Indices!C14</f>
        <v>469</v>
      </c>
      <c r="D44" s="45">
        <f>ROUNDDOWN($E$7*C44/12,2)+ROUNDDOWN($E$7*C44/12,2)*0.01-ROUNDDOWN($E$7*C44/12,2)*Intro!$F$7-(ROUNDDOWN($E$7*C44/12,2)+ROUNDDOWN($E$7*C44/12,2)*0.01)*Intro!$F$17*Intro!$F$19-(ROUNDDOWN($E$7*C44/12,2)+ROUNDDOWN($E$7*C44/12,2)*0.01)*Intro!$F$17*Intro!$F$21-(ROUNDDOWN($E$7*C44/12,2)+ROUNDDOWN($E$7*C44/12,2)*0.01-ROUNDDOWN($E$7*C44/12,2)*Intro!$F$7-ROUND($E$7*C44/12*0.01*0.05,2))*0.01-ROUND((($E$7*C44/12)*0.01)*0.05,2)</f>
        <v>1792.8101688</v>
      </c>
      <c r="E44" s="44">
        <f t="shared" si="2"/>
        <v>469</v>
      </c>
      <c r="F44" s="46">
        <f>ROUNDDOWN($E$7*E44/12,2)+ROUNDDOWN($E$7*E44/12,2)*0.01-ROUNDDOWN($E$7*E44/12,2)*Intro!$F$7-(ROUNDDOWN($E$7*E44/12,2)+ROUNDDOWN($E$7*E44/12,2)*0.01+ROUNDDOWN($E$47,2))*Intro!$F$17*Intro!$F$19-(ROUNDDOWN($E$7*E44/12,2)+ROUNDDOWN($E$7*E44/12,2)*0.01+ROUNDDOWN($E$47,2))*Intro!$F$17*Intro!$F$21-(ROUNDDOWN($E$7*E44/12,2)+ROUNDDOWN($E$7*E44/12,2)*0.01-ROUNDDOWN($E$7*E44/12,2)*Intro!$F$7-ROUND((($E$7*E44/12)*0.01+$E$47)*0.05,2))*0.01-ROUND((($E$7*E44/12)*0.01+$E$47)*0.05,2)</f>
        <v>1768.1124887999997</v>
      </c>
      <c r="G44" s="46">
        <f t="shared" si="0"/>
        <v>1960.9124887999997</v>
      </c>
      <c r="H44" s="44">
        <f t="shared" si="3"/>
        <v>469</v>
      </c>
      <c r="I44" s="46">
        <f>ROUNDDOWN($E$7*H44/12,2)+ROUNDDOWN($E$7*H44/12,2)*0.01-ROUNDDOWN($E$7*H44/12,2)*Intro!$F$7-(ROUNDDOWN($E$7*H44/12,2)+ROUNDDOWN($E$7*H44/12,2)*0.01+ROUNDDOWN($H$47,2))*Intro!$F$17*Intro!$F$19-(ROUNDDOWN($E$7*H44/12,2)+ROUNDDOWN($E$7*H44/12,2)*0.01+ROUNDDOWN($H$47,2))*Intro!$F$17*Intro!$F$21-(ROUNDDOWN($E$7*H44/12,2)+ROUNDDOWN($E$7*H44/12,2)*0.01-ROUNDDOWN($E$7*H44/12,2)*Intro!$F$7-ROUND((($E$7*H44/12)*0.01+$H$47)*0.05,2))*0.01-ROUND((($E$7*H44/12)*0.01+$H$47)*0.05,2)</f>
        <v>1761.9380687999997</v>
      </c>
      <c r="J44" s="47">
        <f t="shared" si="1"/>
        <v>2002.9380687999997</v>
      </c>
    </row>
    <row r="45" spans="2:10" ht="19.5" customHeight="1" thickBot="1">
      <c r="B45" s="48">
        <v>11</v>
      </c>
      <c r="C45" s="49">
        <f>Indices!C15</f>
        <v>515</v>
      </c>
      <c r="D45" s="50">
        <f>ROUNDDOWN($E$7*C45/12,2)+ROUNDDOWN($E$7*C45/12,2)*0.01-ROUNDDOWN($E$7*C45/12,2)*Intro!$F$7-(ROUNDDOWN($E$7*C45/12,2)+ROUNDDOWN($E$7*C45/12,2)*0.01)*Intro!$F$17*Intro!$F$19-(ROUNDDOWN($E$7*C45/12,2)+ROUNDDOWN($E$7*C45/12,2)*0.01)*Intro!$F$17*Intro!$F$21-(ROUNDDOWN($E$7*C45/12,2)+ROUNDDOWN($E$7*C45/12,2)*0.01-ROUNDDOWN($E$7*C45/12,2)*Intro!$F$7-ROUND($E$7*C45/12*0.01*0.05,2))*0.01-ROUND((($E$7*C45/12)*0.01)*0.05,2)</f>
        <v>1968.6636528</v>
      </c>
      <c r="E45" s="49">
        <f t="shared" si="2"/>
        <v>515</v>
      </c>
      <c r="F45" s="51">
        <f>ROUNDDOWN($E$7*E45/12,2)+ROUNDDOWN($E$7*E45/12,2)*0.01-ROUNDDOWN($E$7*E45/12,2)*Intro!$F$7-(ROUNDDOWN($E$7*E45/12,2)+ROUNDDOWN($E$7*E45/12,2)*0.01+ROUNDDOWN($E$47,2))*Intro!$F$17*Intro!$F$19-(ROUNDDOWN($E$7*E45/12,2)+ROUNDDOWN($E$7*E45/12,2)*0.01+ROUNDDOWN($E$47,2))*Intro!$F$17*Intro!$F$21-(ROUNDDOWN($E$7*E45/12,2)+ROUNDDOWN($E$7*E45/12,2)*0.01-ROUNDDOWN($E$7*E45/12,2)*Intro!$F$7-ROUND((($E$7*E45/12)*0.01+$E$47)*0.05,2))*0.01-ROUND((($E$7*E45/12)*0.01+$E$47)*0.05,2)</f>
        <v>1943.9659728000001</v>
      </c>
      <c r="G45" s="51">
        <f t="shared" si="0"/>
        <v>2136.7659728000003</v>
      </c>
      <c r="H45" s="49">
        <f t="shared" si="3"/>
        <v>515</v>
      </c>
      <c r="I45" s="51">
        <f>ROUNDDOWN($E$7*H45/12,2)+ROUNDDOWN($E$7*H45/12,2)*0.01-ROUNDDOWN($E$7*H45/12,2)*Intro!$F$7-(ROUNDDOWN($E$7*H45/12,2)+ROUNDDOWN($E$7*H45/12,2)*0.01+ROUNDDOWN($H$47,2))*Intro!$F$17*Intro!$F$19-(ROUNDDOWN($E$7*H45/12,2)+ROUNDDOWN($E$7*H45/12,2)*0.01+ROUNDDOWN($H$47,2))*Intro!$F$17*Intro!$F$21-(ROUNDDOWN($E$7*H45/12,2)+ROUNDDOWN($E$7*H45/12,2)*0.01-ROUNDDOWN($E$7*H45/12,2)*Intro!$F$7-ROUND((($E$7*H45/12)*0.01+$H$47)*0.05,2))*0.01-ROUND((($E$7*H45/12)*0.01+$H$47)*0.05,2)</f>
        <v>1937.7915528</v>
      </c>
      <c r="J45" s="52">
        <f t="shared" si="1"/>
        <v>2178.7915528000003</v>
      </c>
    </row>
    <row r="46" spans="3:11" ht="19.5" customHeight="1" thickBot="1" thickTop="1">
      <c r="C46" s="53"/>
      <c r="D46" s="53"/>
      <c r="E46" s="53"/>
      <c r="F46" s="240" t="s">
        <v>10</v>
      </c>
      <c r="G46" s="240"/>
      <c r="H46" s="240"/>
      <c r="I46" s="240"/>
      <c r="J46" s="240"/>
      <c r="K46" s="240"/>
    </row>
    <row r="47" spans="2:11" s="56" customFormat="1" ht="27.75" customHeight="1" thickBot="1" thickTop="1">
      <c r="B47" s="54" t="s">
        <v>9</v>
      </c>
      <c r="C47" s="237">
        <f>Intro!H4</f>
        <v>39447</v>
      </c>
      <c r="D47" s="238"/>
      <c r="E47" s="174">
        <f>Intro!C4</f>
        <v>192.8</v>
      </c>
      <c r="F47" s="239"/>
      <c r="G47" s="175"/>
      <c r="H47" s="174">
        <f>Intro!F4</f>
        <v>241</v>
      </c>
      <c r="I47" s="239"/>
      <c r="J47" s="175"/>
      <c r="K47" s="55"/>
    </row>
    <row r="48" spans="3:5" ht="15" thickTop="1">
      <c r="C48" s="63"/>
      <c r="D48" s="63"/>
      <c r="E48" s="63"/>
    </row>
    <row r="49" spans="3:5" ht="14.25">
      <c r="C49" s="63"/>
      <c r="D49" s="63"/>
      <c r="E49" s="63"/>
    </row>
    <row r="50" spans="3:5" ht="14.25">
      <c r="C50" s="28"/>
      <c r="D50" s="28"/>
      <c r="E50" s="28"/>
    </row>
  </sheetData>
  <sheetProtection/>
  <mergeCells count="34">
    <mergeCell ref="I33:J33"/>
    <mergeCell ref="E32:G32"/>
    <mergeCell ref="E33:E34"/>
    <mergeCell ref="C47:D47"/>
    <mergeCell ref="E47:G47"/>
    <mergeCell ref="H47:J47"/>
    <mergeCell ref="F46:K46"/>
    <mergeCell ref="F33:G33"/>
    <mergeCell ref="C15:F16"/>
    <mergeCell ref="F19:F20"/>
    <mergeCell ref="E17:G18"/>
    <mergeCell ref="D13:D14"/>
    <mergeCell ref="G19:G20"/>
    <mergeCell ref="D33:D34"/>
    <mergeCell ref="B4:H5"/>
    <mergeCell ref="H32:J32"/>
    <mergeCell ref="C31:J31"/>
    <mergeCell ref="B13:B14"/>
    <mergeCell ref="C32:D32"/>
    <mergeCell ref="H23:K24"/>
    <mergeCell ref="H19:K20"/>
    <mergeCell ref="E19:E20"/>
    <mergeCell ref="C13:C14"/>
    <mergeCell ref="C12:D12"/>
    <mergeCell ref="B2:C2"/>
    <mergeCell ref="H33:H34"/>
    <mergeCell ref="B33:B34"/>
    <mergeCell ref="H7:J9"/>
    <mergeCell ref="I4:J4"/>
    <mergeCell ref="I5:J5"/>
    <mergeCell ref="C33:C34"/>
    <mergeCell ref="E7:F7"/>
    <mergeCell ref="E8:F8"/>
    <mergeCell ref="E9:F9"/>
  </mergeCells>
  <conditionalFormatting sqref="B35:J45">
    <cfRule type="expression" priority="1" dxfId="0" stopIfTrue="1">
      <formula>(EVEN(ROW())=ROW())</formula>
    </cfRule>
  </conditionalFormatting>
  <conditionalFormatting sqref="E21:G27 B15:B25 C17:D25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 verticalCentered="1"/>
  <pageMargins left="0.3937007874015748" right="0.3937007874015748" top="0.3937007874015748" bottom="0.3937007874015748" header="0" footer="0"/>
  <pageSetup fitToHeight="1" fitToWidth="1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showGridLines="0" showRowColHeaders="0" zoomScaleSheetLayoutView="100" zoomScalePageLayoutView="0" workbookViewId="0" topLeftCell="A1">
      <selection activeCell="M12" sqref="M12"/>
    </sheetView>
  </sheetViews>
  <sheetFormatPr defaultColWidth="11.19921875" defaultRowHeight="15"/>
  <cols>
    <col min="1" max="1" width="2.59765625" style="22" customWidth="1"/>
    <col min="2" max="2" width="8.09765625" style="22" customWidth="1"/>
    <col min="3" max="3" width="8.59765625" style="22" customWidth="1"/>
    <col min="4" max="4" width="12.59765625" style="22" customWidth="1"/>
    <col min="5" max="5" width="8.59765625" style="22" customWidth="1"/>
    <col min="6" max="7" width="12.59765625" style="22" customWidth="1"/>
    <col min="8" max="8" width="8.59765625" style="22" customWidth="1"/>
    <col min="9" max="10" width="12.59765625" style="22" customWidth="1"/>
    <col min="11" max="11" width="8.5" style="22" customWidth="1"/>
    <col min="12" max="12" width="8.8984375" style="22" customWidth="1"/>
    <col min="13" max="14" width="11" style="22" customWidth="1"/>
    <col min="15" max="15" width="11.09765625" style="22" customWidth="1"/>
    <col min="16" max="16384" width="11" style="22" customWidth="1"/>
  </cols>
  <sheetData>
    <row r="2" spans="2:10" ht="24" customHeight="1">
      <c r="B2" s="201" t="s">
        <v>33</v>
      </c>
      <c r="C2" s="201"/>
      <c r="D2" s="74"/>
      <c r="E2" s="74"/>
      <c r="F2" s="74"/>
      <c r="G2" s="74"/>
      <c r="H2" s="74"/>
      <c r="I2" s="74"/>
      <c r="J2" s="74"/>
    </row>
    <row r="3" ht="10.5" customHeight="1" thickBot="1">
      <c r="B3" s="23"/>
    </row>
    <row r="4" spans="2:10" s="24" customFormat="1" ht="36" customHeight="1" thickTop="1">
      <c r="B4" s="205" t="s">
        <v>59</v>
      </c>
      <c r="C4" s="206"/>
      <c r="D4" s="206"/>
      <c r="E4" s="206"/>
      <c r="F4" s="206"/>
      <c r="G4" s="206"/>
      <c r="H4" s="206"/>
      <c r="I4" s="213" t="s">
        <v>55</v>
      </c>
      <c r="J4" s="214"/>
    </row>
    <row r="5" spans="2:10" s="24" customFormat="1" ht="36" customHeight="1" thickBot="1">
      <c r="B5" s="207"/>
      <c r="C5" s="208"/>
      <c r="D5" s="208"/>
      <c r="E5" s="208"/>
      <c r="F5" s="208"/>
      <c r="G5" s="208"/>
      <c r="H5" s="208"/>
      <c r="I5" s="215">
        <f>Intro!H2</f>
        <v>40543</v>
      </c>
      <c r="J5" s="216"/>
    </row>
    <row r="6" spans="2:7" s="26" customFormat="1" ht="9.75" customHeight="1" thickTop="1">
      <c r="B6" s="25"/>
      <c r="C6" s="25"/>
      <c r="D6" s="25"/>
      <c r="E6" s="25"/>
      <c r="F6" s="25"/>
      <c r="G6" s="25"/>
    </row>
    <row r="7" spans="2:11" s="28" customFormat="1" ht="18" customHeight="1">
      <c r="B7" s="27"/>
      <c r="D7" s="29" t="s">
        <v>4</v>
      </c>
      <c r="E7" s="202">
        <f>Intro!F2</f>
        <v>55.5635</v>
      </c>
      <c r="F7" s="203"/>
      <c r="G7" s="209" t="s">
        <v>32</v>
      </c>
      <c r="H7" s="209"/>
      <c r="I7" s="209"/>
      <c r="J7" s="209"/>
      <c r="K7" s="75"/>
    </row>
    <row r="8" spans="2:10" s="28" customFormat="1" ht="18" customHeight="1">
      <c r="B8" s="27"/>
      <c r="D8" s="29" t="s">
        <v>2</v>
      </c>
      <c r="E8" s="204">
        <f>ROUNDDOWN(E7/12,2)</f>
        <v>4.63</v>
      </c>
      <c r="F8" s="204"/>
      <c r="G8" s="209"/>
      <c r="H8" s="209"/>
      <c r="I8" s="209"/>
      <c r="J8" s="209"/>
    </row>
    <row r="9" spans="2:11" s="28" customFormat="1" ht="18" customHeight="1">
      <c r="B9" s="27"/>
      <c r="D9" s="29" t="s">
        <v>3</v>
      </c>
      <c r="E9" s="204">
        <f>ROUNDDOWN($E$7/12,2)-ROUNDDOWN($E$7/12,2)*Intro!$F$7-ROUNDDOWN($E$7/12,2)*Intro!$F$17*Intro!$F$19-ROUNDDOWN($E$7/12,2)*Intro!$F$17*Intro!$F$21-(ROUNDDOWN($E$7/12,2)-ROUNDDOWN($E$7/12,2)*Intro!$F$7)*0.01</f>
        <v>3.7824970199999997</v>
      </c>
      <c r="F9" s="204"/>
      <c r="G9" s="209"/>
      <c r="H9" s="209"/>
      <c r="I9" s="209"/>
      <c r="J9" s="209"/>
      <c r="K9" s="75"/>
    </row>
    <row r="10" spans="1:12" s="28" customFormat="1" ht="18" customHeight="1" thickBot="1">
      <c r="A10" s="56"/>
      <c r="B10" s="56"/>
      <c r="C10" s="57"/>
      <c r="D10" s="57"/>
      <c r="E10" s="58"/>
      <c r="F10" s="59"/>
      <c r="G10" s="59"/>
      <c r="H10" s="60"/>
      <c r="I10" s="61"/>
      <c r="J10" s="61"/>
      <c r="K10" s="61"/>
      <c r="L10" s="56"/>
    </row>
    <row r="11" spans="1:12" s="28" customFormat="1" ht="22.5" customHeight="1" thickBot="1" thickTop="1">
      <c r="A11" s="22"/>
      <c r="B11" s="22"/>
      <c r="C11" s="181" t="s">
        <v>17</v>
      </c>
      <c r="D11" s="182"/>
      <c r="E11" s="56"/>
      <c r="F11" s="22"/>
      <c r="G11" s="22"/>
      <c r="H11" s="56"/>
      <c r="I11" s="22"/>
      <c r="J11" s="22"/>
      <c r="K11" s="78"/>
      <c r="L11" s="78"/>
    </row>
    <row r="12" spans="1:12" s="33" customFormat="1" ht="19.5" customHeight="1" thickTop="1">
      <c r="A12" s="28"/>
      <c r="B12" s="217" t="s">
        <v>13</v>
      </c>
      <c r="C12" s="190" t="s">
        <v>14</v>
      </c>
      <c r="D12" s="188" t="s">
        <v>15</v>
      </c>
      <c r="E12" s="28"/>
      <c r="F12" s="28"/>
      <c r="G12" s="28"/>
      <c r="H12" s="62"/>
      <c r="I12" s="28"/>
      <c r="J12" s="28"/>
      <c r="K12" s="79"/>
      <c r="L12" s="79"/>
    </row>
    <row r="13" spans="1:12" s="33" customFormat="1" ht="19.5" customHeight="1" thickBot="1">
      <c r="A13" s="63"/>
      <c r="B13" s="218"/>
      <c r="C13" s="191"/>
      <c r="D13" s="189" t="s">
        <v>18</v>
      </c>
      <c r="E13" s="63"/>
      <c r="F13" s="63"/>
      <c r="G13" s="63"/>
      <c r="H13" s="63"/>
      <c r="I13" s="63"/>
      <c r="J13" s="63"/>
      <c r="K13" s="63"/>
      <c r="L13" s="63"/>
    </row>
    <row r="14" spans="1:12" s="34" customFormat="1" ht="19.5" customHeight="1" thickTop="1">
      <c r="A14" s="63"/>
      <c r="B14" s="37">
        <v>1</v>
      </c>
      <c r="C14" s="183" t="s">
        <v>47</v>
      </c>
      <c r="D14" s="183"/>
      <c r="E14" s="183"/>
      <c r="F14" s="184"/>
      <c r="G14" s="63"/>
      <c r="H14" s="63"/>
      <c r="I14" s="63"/>
      <c r="J14" s="63"/>
      <c r="K14" s="79"/>
      <c r="L14" s="79"/>
    </row>
    <row r="15" spans="1:12" s="34" customFormat="1" ht="15.75" thickBot="1">
      <c r="A15" s="63"/>
      <c r="B15" s="43">
        <v>2</v>
      </c>
      <c r="C15" s="185"/>
      <c r="D15" s="185"/>
      <c r="E15" s="186"/>
      <c r="F15" s="187"/>
      <c r="G15" s="63"/>
      <c r="H15" s="63"/>
      <c r="I15" s="63"/>
      <c r="J15" s="63"/>
      <c r="K15" s="63"/>
      <c r="L15" s="63"/>
    </row>
    <row r="16" spans="1:12" ht="19.5" customHeight="1" thickTop="1">
      <c r="A16" s="28"/>
      <c r="B16" s="43">
        <v>3</v>
      </c>
      <c r="C16" s="44">
        <f>Indices!F7</f>
        <v>432</v>
      </c>
      <c r="D16" s="65">
        <f>ROUNDDOWN($E$7*C16/12,2)-ROUNDDOWN($E$7*C16/12,2)*Intro!$F$7-ROUNDDOWN($E$7*C16/12,2)*Intro!$F$17*Intro!$F$19-ROUNDDOWN($E$7*C16/12,2)*Intro!$F$17*Intro!$F$21-(ROUNDDOWN($E$7*C16/12,2)-ROUNDDOWN($E$7*C16/12,2)*Intro!$F$7)*0.01</f>
        <v>1634.1367471199999</v>
      </c>
      <c r="E16" s="195" t="s">
        <v>45</v>
      </c>
      <c r="F16" s="195"/>
      <c r="G16" s="196"/>
      <c r="H16" s="63"/>
      <c r="I16" s="63"/>
      <c r="J16" s="63"/>
      <c r="K16" s="63"/>
      <c r="L16" s="79"/>
    </row>
    <row r="17" spans="2:11" ht="19.5" customHeight="1" thickBot="1">
      <c r="B17" s="43">
        <v>4</v>
      </c>
      <c r="C17" s="44">
        <f>Indices!F8</f>
        <v>445</v>
      </c>
      <c r="D17" s="65">
        <f>ROUNDDOWN($E$7*C17/12,2)-ROUNDDOWN($E$7*C17/12,2)*Intro!$F$7-ROUNDDOWN($E$7*C17/12,2)*Intro!$F$17*Intro!$F$19-ROUNDDOWN($E$7*C17/12,2)*Intro!$F$17*Intro!$F$21-(ROUNDDOWN($E$7*C17/12,2)-ROUNDDOWN($E$7*C17/12,2)*Intro!$F$7)*0.01</f>
        <v>1683.30920838</v>
      </c>
      <c r="E17" s="197"/>
      <c r="F17" s="197"/>
      <c r="G17" s="198"/>
      <c r="H17" s="63"/>
      <c r="I17" s="63"/>
      <c r="J17" s="63"/>
      <c r="K17" s="63"/>
    </row>
    <row r="18" spans="2:12" ht="19.5" customHeight="1" thickTop="1">
      <c r="B18" s="43">
        <v>5</v>
      </c>
      <c r="C18" s="44">
        <f>Indices!F9</f>
        <v>458</v>
      </c>
      <c r="D18" s="65">
        <f>ROUNDDOWN($E$7*C18/12,2)-ROUNDDOWN($E$7*C18/12,2)*Intro!$F$7-ROUNDDOWN($E$7*C18/12,2)*Intro!$F$17*Intro!$F$19-ROUNDDOWN($E$7*C18/12,2)*Intro!$F$17*Intro!$F$21-(ROUNDDOWN($E$7*C18/12,2)-ROUNDDOWN($E$7*C18/12,2)*Intro!$F$7)*0.01</f>
        <v>1732.48983918</v>
      </c>
      <c r="E18" s="178" t="s">
        <v>13</v>
      </c>
      <c r="F18" s="179" t="s">
        <v>14</v>
      </c>
      <c r="G18" s="188" t="s">
        <v>15</v>
      </c>
      <c r="H18" s="66" t="s">
        <v>16</v>
      </c>
      <c r="I18" s="84"/>
      <c r="J18" s="84"/>
      <c r="K18" s="84"/>
      <c r="L18" s="81"/>
    </row>
    <row r="19" spans="2:12" ht="19.5" customHeight="1" thickBot="1">
      <c r="B19" s="43">
        <v>6</v>
      </c>
      <c r="C19" s="44">
        <f>Indices!F10</f>
        <v>467</v>
      </c>
      <c r="D19" s="65">
        <f>ROUNDDOWN($E$7*C19/12,2)-ROUNDDOWN($E$7*C19/12,2)*Intro!$F$7-ROUNDDOWN($E$7*C19/12,2)*Intro!$F$17*Intro!$F$19-ROUNDDOWN($E$7*C19/12,2)*Intro!$F$17*Intro!$F$21-(ROUNDDOWN($E$7*C19/12,2)-ROUNDDOWN($E$7*C19/12,2)*Intro!$F$7)*0.01</f>
        <v>1766.53231236</v>
      </c>
      <c r="E19" s="219"/>
      <c r="F19" s="180"/>
      <c r="G19" s="189" t="s">
        <v>18</v>
      </c>
      <c r="H19" s="85" t="str">
        <f>"Retraite "&amp;Intro!F7*100&amp;" % du traitement brut"</f>
        <v>Retraite 9,54 % du traitement brut</v>
      </c>
      <c r="I19" s="71"/>
      <c r="J19" s="71"/>
      <c r="K19" s="71"/>
      <c r="L19" s="81"/>
    </row>
    <row r="20" spans="2:11" ht="19.5" customHeight="1" thickTop="1">
      <c r="B20" s="43">
        <v>7</v>
      </c>
      <c r="C20" s="44">
        <f>Indices!F11</f>
        <v>495</v>
      </c>
      <c r="D20" s="65">
        <f>ROUNDDOWN($E$7*C20/12,2)-ROUNDDOWN($E$7*C20/12,2)*Intro!$F$7-ROUNDDOWN($E$7*C20/12,2)*Intro!$F$17*Intro!$F$19-ROUNDDOWN($E$7*C20/12,2)*Intro!$F$17*Intro!$F$21-(ROUNDDOWN($E$7*C20/12,2)-ROUNDDOWN($E$7*C20/12,2)*Intro!$F$7)*0.01</f>
        <v>1872.4503984599996</v>
      </c>
      <c r="E20" s="67">
        <v>1</v>
      </c>
      <c r="F20" s="68">
        <f>Indices!I5</f>
        <v>495</v>
      </c>
      <c r="G20" s="64">
        <f>ROUNDDOWN($E$7*F20/12,2)-ROUNDDOWN($E$7*F20/12,2)*Intro!$F$7-ROUNDDOWN($E$7*F20/12,2)*Intro!$F$17*Intro!$F$19-ROUNDDOWN($E$7*F20/12,2)*Intro!$F$17*Intro!$F$21-(ROUNDDOWN($E$7*F20/12,2)-ROUNDDOWN($E$7*F20/12,2)*Intro!$F$7)*0.01</f>
        <v>1872.4503984599996</v>
      </c>
      <c r="H20" s="199" t="s">
        <v>44</v>
      </c>
      <c r="I20" s="200"/>
      <c r="J20" s="200"/>
      <c r="K20" s="200"/>
    </row>
    <row r="21" spans="2:11" ht="19.5" customHeight="1">
      <c r="B21" s="43">
        <v>8</v>
      </c>
      <c r="C21" s="44">
        <f>Indices!F12</f>
        <v>531</v>
      </c>
      <c r="D21" s="65">
        <f>ROUNDDOWN($E$7*C21/12,2)-ROUNDDOWN($E$7*C21/12,2)*Intro!$F$7-ROUNDDOWN($E$7*C21/12,2)*Intro!$F$17*Intro!$F$19-ROUNDDOWN($E$7*C21/12,2)*Intro!$F$17*Intro!$F$21-(ROUNDDOWN($E$7*C21/12,2)-ROUNDDOWN($E$7*C21/12,2)*Intro!$F$7)*0.01</f>
        <v>2008.62846072</v>
      </c>
      <c r="E21" s="69">
        <v>2</v>
      </c>
      <c r="F21" s="70">
        <f>Indices!I6</f>
        <v>560</v>
      </c>
      <c r="G21" s="65">
        <f>ROUNDDOWN($E$7*F21/12,2)-ROUNDDOWN($E$7*F21/12,2)*Intro!$F$7-ROUNDDOWN($E$7*F21/12,2)*Intro!$F$17*Intro!$F$19-ROUNDDOWN($E$7*F21/12,2)*Intro!$F$17*Intro!$F$21-(ROUNDDOWN($E$7*F21/12,2)-ROUNDDOWN($E$7*F21/12,2)*Intro!$F$7)*0.01</f>
        <v>2118.32904384</v>
      </c>
      <c r="H21" s="199"/>
      <c r="I21" s="200"/>
      <c r="J21" s="200"/>
      <c r="K21" s="200"/>
    </row>
    <row r="22" spans="2:11" ht="19.5" customHeight="1">
      <c r="B22" s="43">
        <v>9</v>
      </c>
      <c r="C22" s="44">
        <f>Indices!F13</f>
        <v>567</v>
      </c>
      <c r="D22" s="65">
        <f>ROUNDDOWN($E$7*C22/12,2)-ROUNDDOWN($E$7*C22/12,2)*Intro!$F$7-ROUNDDOWN($E$7*C22/12,2)*Intro!$F$17*Intro!$F$19-ROUNDDOWN($E$7*C22/12,2)*Intro!$F$17*Intro!$F$21-(ROUNDDOWN($E$7*C22/12,2)-ROUNDDOWN($E$7*C22/12,2)*Intro!$F$7)*0.01</f>
        <v>2144.80652298</v>
      </c>
      <c r="E22" s="69">
        <v>3</v>
      </c>
      <c r="F22" s="70">
        <f>Indices!I7</f>
        <v>601</v>
      </c>
      <c r="G22" s="65">
        <f>ROUNDDOWN($E$7*F22/12,2)-ROUNDDOWN($E$7*F22/12,2)*Intro!$F$7-ROUNDDOWN($E$7*F22/12,2)*Intro!$F$17*Intro!$F$19-ROUNDDOWN($E$7*F22/12,2)*Intro!$F$17*Intro!$F$21-(ROUNDDOWN($E$7*F22/12,2)-ROUNDDOWN($E$7*F22/12,2)*Intro!$F$7)*0.01</f>
        <v>2273.4195912000005</v>
      </c>
      <c r="H22" s="85" t="str">
        <f>"CRDS "&amp;Intro!F21*100&amp;"% (sur "&amp;Intro!F17*100&amp;"% de tous les revenus, dont IRL)"</f>
        <v>CRDS 0,5% (sur 98,25% de tous les revenus, dont IRL)</v>
      </c>
      <c r="I22" s="86"/>
      <c r="J22" s="86"/>
      <c r="K22" s="71"/>
    </row>
    <row r="23" spans="2:11" ht="19.5" customHeight="1">
      <c r="B23" s="43">
        <v>10</v>
      </c>
      <c r="C23" s="44">
        <f>Indices!F14</f>
        <v>612</v>
      </c>
      <c r="D23" s="65">
        <f>ROUNDDOWN($E$7*C23/12,2)-ROUNDDOWN($E$7*C23/12,2)*Intro!$F$7-ROUNDDOWN($E$7*C23/12,2)*Intro!$F$17*Intro!$F$19-ROUNDDOWN($E$7*C23/12,2)*Intro!$F$17*Intro!$F$21-(ROUNDDOWN($E$7*C23/12,2)-ROUNDDOWN($E$7*C23/12,2)*Intro!$F$7)*0.01</f>
        <v>2315.0270584200002</v>
      </c>
      <c r="E23" s="69">
        <v>4</v>
      </c>
      <c r="F23" s="70">
        <f>Indices!I8</f>
        <v>642</v>
      </c>
      <c r="G23" s="65">
        <f>ROUNDDOWN($E$7*F23/12,2)-ROUNDDOWN($E$7*F23/12,2)*Intro!$F$7-ROUNDDOWN($E$7*F23/12,2)*Intro!$F$17*Intro!$F$19-ROUNDDOWN($E$7*F23/12,2)*Intro!$F$17*Intro!$F$21-(ROUNDDOWN($E$7*F23/12,2)-ROUNDDOWN($E$7*F23/12,2)*Intro!$F$7)*0.01</f>
        <v>2428.5101385599996</v>
      </c>
      <c r="H23" s="85" t="str">
        <f>"CSG "&amp;Intro!F19*100&amp;"% (sur "&amp;Intro!F17*100&amp;"% de tous les revenus, dont IRL)"</f>
        <v>CSG 7,5% (sur 98,25% de tous les revenus, dont IRL)</v>
      </c>
      <c r="I23" s="71"/>
      <c r="J23" s="71"/>
      <c r="K23" s="71"/>
    </row>
    <row r="24" spans="2:11" ht="19.5" customHeight="1" thickBot="1">
      <c r="B24" s="48">
        <v>11</v>
      </c>
      <c r="C24" s="49">
        <f>Indices!F15</f>
        <v>658</v>
      </c>
      <c r="D24" s="72">
        <f>ROUNDDOWN($E$7*C24/12,2)-ROUNDDOWN($E$7*C24/12,2)*Intro!$F$7-ROUNDDOWN($E$7*C24/12,2)*Intro!$F$17*Intro!$F$19-ROUNDDOWN($E$7*C24/12,2)*Intro!$F$17*Intro!$F$21-(ROUNDDOWN($E$7*C24/12,2)-ROUNDDOWN($E$7*C24/12,2)*Intro!$F$7)*0.01</f>
        <v>2489.0382604200004</v>
      </c>
      <c r="E24" s="69">
        <v>5</v>
      </c>
      <c r="F24" s="70">
        <f>Indices!I9</f>
        <v>695</v>
      </c>
      <c r="G24" s="65">
        <f>ROUNDDOWN($E$7*F24/12,2)-ROUNDDOWN($E$7*F24/12,2)*Intro!$F$7-ROUNDDOWN($E$7*F24/12,2)*Intro!$F$17*Intro!$F$19-ROUNDDOWN($E$7*F24/12,2)*Intro!$F$17*Intro!$F$21-(ROUNDDOWN($E$7*F24/12,2)-ROUNDDOWN($E$7*F24/12,2)*Intro!$F$7)*0.01</f>
        <v>2628.9988197</v>
      </c>
      <c r="H24" s="199" t="s">
        <v>41</v>
      </c>
      <c r="I24" s="200"/>
      <c r="J24" s="200"/>
      <c r="K24" s="200"/>
    </row>
    <row r="25" spans="5:11" ht="19.5" customHeight="1" thickTop="1">
      <c r="E25" s="43">
        <v>6</v>
      </c>
      <c r="F25" s="70">
        <f>Indices!I10</f>
        <v>741</v>
      </c>
      <c r="G25" s="65">
        <f>ROUNDDOWN($E$7*F25/12,2)-ROUNDDOWN($E$7*F25/12,2)*Intro!$F$7-ROUNDDOWN($E$7*F25/12,2)*Intro!$F$17*Intro!$F$19-ROUNDDOWN($E$7*F25/12,2)*Intro!$F$17*Intro!$F$21-(ROUNDDOWN($E$7*F25/12,2)-ROUNDDOWN($E$7*F25/12,2)*Intro!$F$7)*0.01</f>
        <v>2803.00185216</v>
      </c>
      <c r="H25" s="199"/>
      <c r="I25" s="200"/>
      <c r="J25" s="200"/>
      <c r="K25" s="200"/>
    </row>
    <row r="26" spans="3:9" ht="19.5" customHeight="1" thickBot="1">
      <c r="C26" s="28"/>
      <c r="D26" s="28"/>
      <c r="E26" s="48">
        <v>7</v>
      </c>
      <c r="F26" s="73">
        <f>Indices!I11</f>
        <v>783</v>
      </c>
      <c r="G26" s="72">
        <f>ROUNDDOWN($E$7*F26/12,2)-ROUNDDOWN($E$7*F26/12,2)*Intro!$F$7-ROUNDDOWN($E$7*F26/12,2)*Intro!$F$17*Intro!$F$19-ROUNDDOWN($E$7*F26/12,2)*Intro!$F$17*Intro!$F$21-(ROUNDDOWN($E$7*F26/12,2)-ROUNDDOWN($E$7*F26/12,2)*Intro!$F$7)*0.01</f>
        <v>2961.8748965400005</v>
      </c>
      <c r="I26" s="88"/>
    </row>
    <row r="27" spans="3:9" ht="19.5" customHeight="1" thickTop="1">
      <c r="C27" s="63"/>
      <c r="D27" s="63"/>
      <c r="I27" s="89"/>
    </row>
    <row r="28" spans="1:12" s="56" customFormat="1" ht="15" thickBot="1">
      <c r="A28" s="28"/>
      <c r="B28" s="28"/>
      <c r="C28" s="28"/>
      <c r="D28" s="28"/>
      <c r="E28" s="28"/>
      <c r="F28" s="28"/>
      <c r="G28" s="28"/>
      <c r="H28" s="28"/>
      <c r="I28" s="28"/>
      <c r="J28" s="77" t="s">
        <v>37</v>
      </c>
      <c r="K28" s="28"/>
      <c r="L28" s="28"/>
    </row>
    <row r="29" spans="1:12" s="56" customFormat="1" ht="39.75" customHeight="1" thickBot="1" thickTop="1">
      <c r="A29" s="33"/>
      <c r="B29" s="32"/>
      <c r="C29" s="181" t="s">
        <v>12</v>
      </c>
      <c r="D29" s="212"/>
      <c r="E29" s="212"/>
      <c r="F29" s="212"/>
      <c r="G29" s="212"/>
      <c r="H29" s="212"/>
      <c r="I29" s="212"/>
      <c r="J29" s="182"/>
      <c r="K29" s="33"/>
      <c r="L29" s="33"/>
    </row>
    <row r="30" spans="1:12" ht="19.5" customHeight="1" thickBot="1" thickTop="1">
      <c r="A30" s="33"/>
      <c r="B30" s="32"/>
      <c r="C30" s="192" t="s">
        <v>26</v>
      </c>
      <c r="D30" s="193"/>
      <c r="E30" s="192" t="s">
        <v>0</v>
      </c>
      <c r="F30" s="193"/>
      <c r="G30" s="193"/>
      <c r="H30" s="192" t="s">
        <v>1</v>
      </c>
      <c r="I30" s="193"/>
      <c r="J30" s="194"/>
      <c r="K30" s="33"/>
      <c r="L30" s="33"/>
    </row>
    <row r="31" spans="1:13" s="28" customFormat="1" ht="19.5" customHeight="1" thickTop="1">
      <c r="A31" s="34"/>
      <c r="B31" s="217" t="s">
        <v>13</v>
      </c>
      <c r="C31" s="190" t="s">
        <v>14</v>
      </c>
      <c r="D31" s="188" t="s">
        <v>15</v>
      </c>
      <c r="E31" s="190" t="s">
        <v>14</v>
      </c>
      <c r="F31" s="177" t="s">
        <v>15</v>
      </c>
      <c r="G31" s="178"/>
      <c r="H31" s="179" t="s">
        <v>14</v>
      </c>
      <c r="I31" s="177" t="s">
        <v>15</v>
      </c>
      <c r="J31" s="178"/>
      <c r="K31" s="34"/>
      <c r="L31" s="34"/>
      <c r="M31" s="79"/>
    </row>
    <row r="32" spans="1:12" s="63" customFormat="1" ht="19.5" customHeight="1" thickBot="1">
      <c r="A32" s="34"/>
      <c r="B32" s="218"/>
      <c r="C32" s="191"/>
      <c r="D32" s="189"/>
      <c r="E32" s="236"/>
      <c r="F32" s="35" t="s">
        <v>27</v>
      </c>
      <c r="G32" s="35" t="s">
        <v>28</v>
      </c>
      <c r="H32" s="180"/>
      <c r="I32" s="35" t="s">
        <v>27</v>
      </c>
      <c r="J32" s="35" t="s">
        <v>28</v>
      </c>
      <c r="K32" s="34"/>
      <c r="L32" s="34"/>
    </row>
    <row r="33" spans="1:13" s="63" customFormat="1" ht="19.5" customHeight="1" thickTop="1">
      <c r="A33" s="22"/>
      <c r="B33" s="37">
        <v>1</v>
      </c>
      <c r="C33" s="38">
        <f>Indices!C5</f>
        <v>341</v>
      </c>
      <c r="D33" s="41">
        <f>ROUNDDOWN($E$7*C33/12,2)-ROUNDDOWN($E$7*C33/12,2)*Intro!$F$7-ROUNDDOWN($E$7*C33/12,2)*Intro!$F$17*Intro!$F$19-ROUNDDOWN($E$7*C33/12,2)*Intro!$F$17*Intro!$F$21-(ROUNDDOWN($E$7*C33/12,2)-ROUNDDOWN($E$7*C33/12,2)*Intro!$F$7)*0.01</f>
        <v>1289.9050096800001</v>
      </c>
      <c r="E33" s="40">
        <f>C33</f>
        <v>341</v>
      </c>
      <c r="F33" s="41">
        <f>ROUNDDOWN($E$7*E33/12,2)-ROUNDDOWN($E$7*E33/12,2)*Intro!$F$7-(ROUNDDOWN($E$7*E33/12,2)+ROUNDDOWN($G$45,2))*Intro!$F$17*Intro!$F$19-(ROUNDDOWN($E$7*E33/12,2)+ROUNDDOWN($G$45,2))*Intro!$F$17*Intro!$F$21-(ROUNDDOWN($E$7*E33/12,2)-ROUNDDOWN($E$7*E33/12,2)*Intro!$F$7-ROUND($G$45*0.05,2))*0.01-ROUND($G$45*0.05,2)</f>
        <v>1289.9050096800001</v>
      </c>
      <c r="G33" s="41">
        <f aca="true" t="shared" si="0" ref="G33:G43">F33+$G$45</f>
        <v>1289.9050096800001</v>
      </c>
      <c r="H33" s="40">
        <f>C33</f>
        <v>341</v>
      </c>
      <c r="I33" s="41">
        <f>ROUNDDOWN($E$7*H33/12,2)-ROUNDDOWN($E$7*H33/12,2)*Intro!$F$7-(ROUNDDOWN($E$7*H33/12,2)+ROUNDDOWN($J$45,2))*Intro!$F$17*Intro!$F$19-(ROUNDDOWN($E$7*H33/12,2)+ROUNDDOWN($J$45,2))*Intro!$F$17*Intro!$F$21-(ROUNDDOWN($E$7*H33/12,2)-ROUNDDOWN($E$7*H33/12,2)*Intro!$F$7-ROUND($J$45*0.05,2))*0.01-ROUND($J$45*0.05,2)</f>
        <v>1289.9050096800001</v>
      </c>
      <c r="J33" s="41">
        <f aca="true" t="shared" si="1" ref="J33:J43">I33+$J$45</f>
        <v>1289.9050096800001</v>
      </c>
      <c r="K33" s="22"/>
      <c r="L33" s="22"/>
      <c r="M33" s="79"/>
    </row>
    <row r="34" spans="1:12" s="63" customFormat="1" ht="19.5" customHeight="1">
      <c r="A34" s="22"/>
      <c r="B34" s="43">
        <v>2</v>
      </c>
      <c r="C34" s="44">
        <f>Indices!C6</f>
        <v>357</v>
      </c>
      <c r="D34" s="46">
        <f>ROUNDDOWN($E$7*C34/12,2)-ROUNDDOWN($E$7*C34/12,2)*Intro!$F$7-ROUNDDOWN($E$7*C34/12,2)*Intro!$F$17*Intro!$F$19-ROUNDDOWN($E$7*C34/12,2)*Intro!$F$17*Intro!$F$21-(ROUNDDOWN($E$7*C34/12,2)-ROUNDDOWN($E$7*C34/12,2)*Intro!$F$7)*0.01</f>
        <v>1350.43313154</v>
      </c>
      <c r="E34" s="44">
        <f aca="true" t="shared" si="2" ref="E34:E43">C34</f>
        <v>357</v>
      </c>
      <c r="F34" s="46">
        <f>ROUNDDOWN($E$7*E34/12,2)-ROUNDDOWN($E$7*E34/12,2)*Intro!$F$7-(ROUNDDOWN($E$7*E34/12,2)+ROUNDDOWN($G$45,2))*Intro!$F$17*Intro!$F$19-(ROUNDDOWN($E$7*E34/12,2)+ROUNDDOWN($G$45,2))*Intro!$F$17*Intro!$F$21-(ROUNDDOWN($E$7*E34/12,2)-ROUNDDOWN($E$7*E34/12,2)*Intro!$F$7-ROUND($G$45*0.05,2))*0.01-ROUND($G$45*0.05,2)</f>
        <v>1350.43313154</v>
      </c>
      <c r="G34" s="46">
        <f t="shared" si="0"/>
        <v>1350.43313154</v>
      </c>
      <c r="H34" s="44">
        <f aca="true" t="shared" si="3" ref="H34:H43">C34</f>
        <v>357</v>
      </c>
      <c r="I34" s="46">
        <f>ROUNDDOWN($E$7*H34/12,2)-ROUNDDOWN($E$7*H34/12,2)*Intro!$F$7-(ROUNDDOWN($E$7*H34/12,2)+ROUNDDOWN($J$45,2))*Intro!$F$17*Intro!$F$19-(ROUNDDOWN($E$7*H34/12,2)+ROUNDDOWN($J$45,2))*Intro!$F$17*Intro!$F$21-(ROUNDDOWN($E$7*H34/12,2)-ROUNDDOWN($E$7*H34/12,2)*Intro!$F$7-ROUND($J$45*0.05,2))*0.01-ROUND($J$45*0.05,2)</f>
        <v>1350.43313154</v>
      </c>
      <c r="J34" s="46">
        <f t="shared" si="1"/>
        <v>1350.43313154</v>
      </c>
      <c r="K34" s="22"/>
      <c r="L34" s="22"/>
    </row>
    <row r="35" spans="1:12" s="28" customFormat="1" ht="19.5" customHeight="1">
      <c r="A35" s="22"/>
      <c r="B35" s="43">
        <v>3</v>
      </c>
      <c r="C35" s="44">
        <f>Indices!C7</f>
        <v>366</v>
      </c>
      <c r="D35" s="46">
        <f>ROUNDDOWN($E$7*C35/12,2)-ROUNDDOWN($E$7*C35/12,2)*Intro!$F$7-ROUNDDOWN($E$7*C35/12,2)*Intro!$F$17*Intro!$F$19-ROUNDDOWN($E$7*C35/12,2)*Intro!$F$17*Intro!$F$21-(ROUNDDOWN($E$7*C35/12,2)-ROUNDDOWN($E$7*C35/12,2)*Intro!$F$7)*0.01</f>
        <v>1384.47560472</v>
      </c>
      <c r="E35" s="44">
        <f t="shared" si="2"/>
        <v>366</v>
      </c>
      <c r="F35" s="46">
        <f>ROUNDDOWN($E$7*E35/12,2)-ROUNDDOWN($E$7*E35/12,2)*Intro!$F$7-(ROUNDDOWN($E$7*E35/12,2)+ROUNDDOWN($G$45,2))*Intro!$F$17*Intro!$F$19-(ROUNDDOWN($E$7*E35/12,2)+ROUNDDOWN($G$45,2))*Intro!$F$17*Intro!$F$21-(ROUNDDOWN($E$7*E35/12,2)-ROUNDDOWN($E$7*E35/12,2)*Intro!$F$7-ROUND($G$45*0.05,2))*0.01-ROUND($G$45*0.05,2)</f>
        <v>1384.47560472</v>
      </c>
      <c r="G35" s="46">
        <f t="shared" si="0"/>
        <v>1384.47560472</v>
      </c>
      <c r="H35" s="44">
        <f t="shared" si="3"/>
        <v>366</v>
      </c>
      <c r="I35" s="46">
        <f>ROUNDDOWN($E$7*H35/12,2)-ROUNDDOWN($E$7*H35/12,2)*Intro!$F$7-(ROUNDDOWN($E$7*H35/12,2)+ROUNDDOWN($J$45,2))*Intro!$F$17*Intro!$F$19-(ROUNDDOWN($E$7*H35/12,2)+ROUNDDOWN($J$45,2))*Intro!$F$17*Intro!$F$21-(ROUNDDOWN($E$7*H35/12,2)-ROUNDDOWN($E$7*H35/12,2)*Intro!$F$7-ROUND($J$45*0.05,2))*0.01-ROUND($J$45*0.05,2)</f>
        <v>1384.47560472</v>
      </c>
      <c r="J35" s="46">
        <f t="shared" si="1"/>
        <v>1384.47560472</v>
      </c>
      <c r="K35" s="22"/>
      <c r="L35" s="22"/>
    </row>
    <row r="36" spans="2:10" ht="19.5" customHeight="1">
      <c r="B36" s="43">
        <v>4</v>
      </c>
      <c r="C36" s="44">
        <f>Indices!C8</f>
        <v>373</v>
      </c>
      <c r="D36" s="46">
        <f>ROUNDDOWN($E$7*C36/12,2)-ROUNDDOWN($E$7*C36/12,2)*Intro!$F$7-ROUNDDOWN($E$7*C36/12,2)*Intro!$F$17*Intro!$F$19-ROUNDDOWN($E$7*C36/12,2)*Intro!$F$17*Intro!$F$21-(ROUNDDOWN($E$7*C36/12,2)-ROUNDDOWN($E$7*C36/12,2)*Intro!$F$7)*0.01</f>
        <v>1410.9530838599999</v>
      </c>
      <c r="E36" s="44">
        <f t="shared" si="2"/>
        <v>373</v>
      </c>
      <c r="F36" s="46">
        <f>ROUNDDOWN($E$7*E36/12,2)-ROUNDDOWN($E$7*E36/12,2)*Intro!$F$7-(ROUNDDOWN($E$7*E36/12,2)+ROUNDDOWN($G$45,2))*Intro!$F$17*Intro!$F$19-(ROUNDDOWN($E$7*E36/12,2)+ROUNDDOWN($G$45,2))*Intro!$F$17*Intro!$F$21-(ROUNDDOWN($E$7*E36/12,2)-ROUNDDOWN($E$7*E36/12,2)*Intro!$F$7-ROUND($G$45*0.05,2))*0.01-ROUND($G$45*0.05,2)</f>
        <v>1410.9530838599999</v>
      </c>
      <c r="G36" s="46">
        <f t="shared" si="0"/>
        <v>1410.9530838599999</v>
      </c>
      <c r="H36" s="44">
        <f t="shared" si="3"/>
        <v>373</v>
      </c>
      <c r="I36" s="46">
        <f>ROUNDDOWN($E$7*H36/12,2)-ROUNDDOWN($E$7*H36/12,2)*Intro!$F$7-(ROUNDDOWN($E$7*H36/12,2)+ROUNDDOWN($J$45,2))*Intro!$F$17*Intro!$F$19-(ROUNDDOWN($E$7*H36/12,2)+ROUNDDOWN($J$45,2))*Intro!$F$17*Intro!$F$21-(ROUNDDOWN($E$7*H36/12,2)-ROUNDDOWN($E$7*H36/12,2)*Intro!$F$7-ROUND($J$45*0.05,2))*0.01-ROUND($J$45*0.05,2)</f>
        <v>1410.9530838599999</v>
      </c>
      <c r="J36" s="46">
        <f t="shared" si="1"/>
        <v>1410.9530838599999</v>
      </c>
    </row>
    <row r="37" spans="2:10" ht="19.5" customHeight="1">
      <c r="B37" s="43">
        <v>5</v>
      </c>
      <c r="C37" s="44">
        <f>Indices!C9</f>
        <v>383</v>
      </c>
      <c r="D37" s="46">
        <f>ROUNDDOWN($E$7*C37/12,2)-ROUNDDOWN($E$7*C37/12,2)*Intro!$F$7-ROUNDDOWN($E$7*C37/12,2)*Intro!$F$17*Intro!$F$19-ROUNDDOWN($E$7*C37/12,2)*Intro!$F$17*Intro!$F$21-(ROUNDDOWN($E$7*C37/12,2)-ROUNDDOWN($E$7*C37/12,2)*Intro!$F$7)*0.01</f>
        <v>1448.7862236</v>
      </c>
      <c r="E37" s="44">
        <f t="shared" si="2"/>
        <v>383</v>
      </c>
      <c r="F37" s="46">
        <f>ROUNDDOWN($E$7*E37/12,2)-ROUNDDOWN($E$7*E37/12,2)*Intro!$F$7-(ROUNDDOWN($E$7*E37/12,2)+ROUNDDOWN($G$45,2))*Intro!$F$17*Intro!$F$19-(ROUNDDOWN($E$7*E37/12,2)+ROUNDDOWN($G$45,2))*Intro!$F$17*Intro!$F$21-(ROUNDDOWN($E$7*E37/12,2)-ROUNDDOWN($E$7*E37/12,2)*Intro!$F$7-ROUND($G$45*0.05,2))*0.01-ROUND($G$45*0.05,2)</f>
        <v>1448.7862236</v>
      </c>
      <c r="G37" s="46">
        <f t="shared" si="0"/>
        <v>1448.7862236</v>
      </c>
      <c r="H37" s="44">
        <f t="shared" si="3"/>
        <v>383</v>
      </c>
      <c r="I37" s="46">
        <f>ROUNDDOWN($E$7*H37/12,2)-ROUNDDOWN($E$7*H37/12,2)*Intro!$F$7-(ROUNDDOWN($E$7*H37/12,2)+ROUNDDOWN($J$45,2))*Intro!$F$17*Intro!$F$19-(ROUNDDOWN($E$7*H37/12,2)+ROUNDDOWN($J$45,2))*Intro!$F$17*Intro!$F$21-(ROUNDDOWN($E$7*H37/12,2)-ROUNDDOWN($E$7*H37/12,2)*Intro!$F$7-ROUND($J$45*0.05,2))*0.01-ROUND($J$45*0.05,2)</f>
        <v>1448.7862236</v>
      </c>
      <c r="J37" s="46">
        <f t="shared" si="1"/>
        <v>1448.7862236</v>
      </c>
    </row>
    <row r="38" spans="2:10" ht="19.5" customHeight="1">
      <c r="B38" s="43">
        <v>6</v>
      </c>
      <c r="C38" s="44">
        <f>Indices!C10</f>
        <v>390</v>
      </c>
      <c r="D38" s="46">
        <f>ROUNDDOWN($E$7*C38/12,2)-ROUNDDOWN($E$7*C38/12,2)*Intro!$F$7-ROUNDDOWN($E$7*C38/12,2)*Intro!$F$17*Intro!$F$19-ROUNDDOWN($E$7*C38/12,2)*Intro!$F$17*Intro!$F$21-(ROUNDDOWN($E$7*C38/12,2)-ROUNDDOWN($E$7*C38/12,2)*Intro!$F$7)*0.01</f>
        <v>1475.26370274</v>
      </c>
      <c r="E38" s="44">
        <f t="shared" si="2"/>
        <v>390</v>
      </c>
      <c r="F38" s="46">
        <f>ROUNDDOWN($E$7*E38/12,2)-ROUNDDOWN($E$7*E38/12,2)*Intro!$F$7-(ROUNDDOWN($E$7*E38/12,2)+ROUNDDOWN($G$45,2))*Intro!$F$17*Intro!$F$19-(ROUNDDOWN($E$7*E38/12,2)+ROUNDDOWN($G$45,2))*Intro!$F$17*Intro!$F$21-(ROUNDDOWN($E$7*E38/12,2)-ROUNDDOWN($E$7*E38/12,2)*Intro!$F$7-ROUND($G$45*0.05,2))*0.01-ROUND($G$45*0.05,2)</f>
        <v>1475.26370274</v>
      </c>
      <c r="G38" s="46">
        <f t="shared" si="0"/>
        <v>1475.26370274</v>
      </c>
      <c r="H38" s="44">
        <f t="shared" si="3"/>
        <v>390</v>
      </c>
      <c r="I38" s="46">
        <f>ROUNDDOWN($E$7*H38/12,2)-ROUNDDOWN($E$7*H38/12,2)*Intro!$F$7-(ROUNDDOWN($E$7*H38/12,2)+ROUNDDOWN($J$45,2))*Intro!$F$17*Intro!$F$19-(ROUNDDOWN($E$7*H38/12,2)+ROUNDDOWN($J$45,2))*Intro!$F$17*Intro!$F$21-(ROUNDDOWN($E$7*H38/12,2)-ROUNDDOWN($E$7*H38/12,2)*Intro!$F$7-ROUND($J$45*0.05,2))*0.01-ROUND($J$45*0.05,2)</f>
        <v>1475.26370274</v>
      </c>
      <c r="J38" s="46">
        <f t="shared" si="1"/>
        <v>1475.26370274</v>
      </c>
    </row>
    <row r="39" spans="2:10" ht="19.5" customHeight="1">
      <c r="B39" s="43">
        <v>7</v>
      </c>
      <c r="C39" s="44">
        <f>Indices!C11</f>
        <v>399</v>
      </c>
      <c r="D39" s="46">
        <f>ROUNDDOWN($E$7*C39/12,2)-ROUNDDOWN($E$7*C39/12,2)*Intro!$F$7-ROUNDDOWN($E$7*C39/12,2)*Intro!$F$17*Intro!$F$19-ROUNDDOWN($E$7*C39/12,2)*Intro!$F$17*Intro!$F$21-(ROUNDDOWN($E$7*C39/12,2)-ROUNDDOWN($E$7*C39/12,2)*Intro!$F$7)*0.01</f>
        <v>1509.30617592</v>
      </c>
      <c r="E39" s="44">
        <f t="shared" si="2"/>
        <v>399</v>
      </c>
      <c r="F39" s="46">
        <f>ROUNDDOWN($E$7*E39/12,2)-ROUNDDOWN($E$7*E39/12,2)*Intro!$F$7-(ROUNDDOWN($E$7*E39/12,2)+ROUNDDOWN($G$45,2))*Intro!$F$17*Intro!$F$19-(ROUNDDOWN($E$7*E39/12,2)+ROUNDDOWN($G$45,2))*Intro!$F$17*Intro!$F$21-(ROUNDDOWN($E$7*E39/12,2)-ROUNDDOWN($E$7*E39/12,2)*Intro!$F$7-ROUND($G$45*0.05,2))*0.01-ROUND($G$45*0.05,2)</f>
        <v>1509.30617592</v>
      </c>
      <c r="G39" s="46">
        <f t="shared" si="0"/>
        <v>1509.30617592</v>
      </c>
      <c r="H39" s="44">
        <f t="shared" si="3"/>
        <v>399</v>
      </c>
      <c r="I39" s="46">
        <f>ROUNDDOWN($E$7*H39/12,2)-ROUNDDOWN($E$7*H39/12,2)*Intro!$F$7-(ROUNDDOWN($E$7*H39/12,2)+ROUNDDOWN($J$45,2))*Intro!$F$17*Intro!$F$19-(ROUNDDOWN($E$7*H39/12,2)+ROUNDDOWN($J$45,2))*Intro!$F$17*Intro!$F$21-(ROUNDDOWN($E$7*H39/12,2)-ROUNDDOWN($E$7*H39/12,2)*Intro!$F$7-ROUND($J$45*0.05,2))*0.01-ROUND($J$45*0.05,2)</f>
        <v>1509.30617592</v>
      </c>
      <c r="J39" s="46">
        <f t="shared" si="1"/>
        <v>1509.30617592</v>
      </c>
    </row>
    <row r="40" spans="2:10" ht="19.5" customHeight="1">
      <c r="B40" s="43">
        <v>8</v>
      </c>
      <c r="C40" s="44">
        <f>Indices!C12</f>
        <v>420</v>
      </c>
      <c r="D40" s="46">
        <f>ROUNDDOWN($E$7*C40/12,2)-ROUNDDOWN($E$7*C40/12,2)*Intro!$F$7-ROUNDDOWN($E$7*C40/12,2)*Intro!$F$17*Intro!$F$19-ROUNDDOWN($E$7*C40/12,2)*Intro!$F$17*Intro!$F$21-(ROUNDDOWN($E$7*C40/12,2)-ROUNDDOWN($E$7*C40/12,2)*Intro!$F$7)*0.01</f>
        <v>1588.74678288</v>
      </c>
      <c r="E40" s="44">
        <f t="shared" si="2"/>
        <v>420</v>
      </c>
      <c r="F40" s="46">
        <f>ROUNDDOWN($E$7*E40/12,2)-ROUNDDOWN($E$7*E40/12,2)*Intro!$F$7-(ROUNDDOWN($E$7*E40/12,2)+ROUNDDOWN($G$45,2))*Intro!$F$17*Intro!$F$19-(ROUNDDOWN($E$7*E40/12,2)+ROUNDDOWN($G$45,2))*Intro!$F$17*Intro!$F$21-(ROUNDDOWN($E$7*E40/12,2)-ROUNDDOWN($E$7*E40/12,2)*Intro!$F$7-ROUND($G$45*0.05,2))*0.01-ROUND($G$45*0.05,2)</f>
        <v>1588.74678288</v>
      </c>
      <c r="G40" s="46">
        <f t="shared" si="0"/>
        <v>1588.74678288</v>
      </c>
      <c r="H40" s="44">
        <f t="shared" si="3"/>
        <v>420</v>
      </c>
      <c r="I40" s="46">
        <f>ROUNDDOWN($E$7*H40/12,2)-ROUNDDOWN($E$7*H40/12,2)*Intro!$F$7-(ROUNDDOWN($E$7*H40/12,2)+ROUNDDOWN($J$45,2))*Intro!$F$17*Intro!$F$19-(ROUNDDOWN($E$7*H40/12,2)+ROUNDDOWN($J$45,2))*Intro!$F$17*Intro!$F$21-(ROUNDDOWN($E$7*H40/12,2)-ROUNDDOWN($E$7*H40/12,2)*Intro!$F$7-ROUND($J$45*0.05,2))*0.01-ROUND($J$45*0.05,2)</f>
        <v>1588.74678288</v>
      </c>
      <c r="J40" s="46">
        <f t="shared" si="1"/>
        <v>1588.74678288</v>
      </c>
    </row>
    <row r="41" spans="2:10" ht="19.5" customHeight="1">
      <c r="B41" s="43">
        <v>9</v>
      </c>
      <c r="C41" s="44">
        <f>Indices!C13</f>
        <v>441</v>
      </c>
      <c r="D41" s="46">
        <f>ROUNDDOWN($E$7*C41/12,2)-ROUNDDOWN($E$7*C41/12,2)*Intro!$F$7-ROUNDDOWN($E$7*C41/12,2)*Intro!$F$17*Intro!$F$19-ROUNDDOWN($E$7*C41/12,2)*Intro!$F$17*Intro!$F$21-(ROUNDDOWN($E$7*C41/12,2)-ROUNDDOWN($E$7*C41/12,2)*Intro!$F$7)*0.01</f>
        <v>1668.1792203</v>
      </c>
      <c r="E41" s="44">
        <f t="shared" si="2"/>
        <v>441</v>
      </c>
      <c r="F41" s="46">
        <f>ROUNDDOWN($E$7*E41/12,2)-ROUNDDOWN($E$7*E41/12,2)*Intro!$F$7-(ROUNDDOWN($E$7*E41/12,2)+ROUNDDOWN($G$45,2))*Intro!$F$17*Intro!$F$19-(ROUNDDOWN($E$7*E41/12,2)+ROUNDDOWN($G$45,2))*Intro!$F$17*Intro!$F$21-(ROUNDDOWN($E$7*E41/12,2)-ROUNDDOWN($E$7*E41/12,2)*Intro!$F$7-ROUND($G$45*0.05,2))*0.01-ROUND($G$45*0.05,2)</f>
        <v>1668.1792203</v>
      </c>
      <c r="G41" s="46">
        <f t="shared" si="0"/>
        <v>1668.1792203</v>
      </c>
      <c r="H41" s="44">
        <f t="shared" si="3"/>
        <v>441</v>
      </c>
      <c r="I41" s="46">
        <f>ROUNDDOWN($E$7*H41/12,2)-ROUNDDOWN($E$7*H41/12,2)*Intro!$F$7-(ROUNDDOWN($E$7*H41/12,2)+ROUNDDOWN($J$45,2))*Intro!$F$17*Intro!$F$19-(ROUNDDOWN($E$7*H41/12,2)+ROUNDDOWN($J$45,2))*Intro!$F$17*Intro!$F$21-(ROUNDDOWN($E$7*H41/12,2)-ROUNDDOWN($E$7*H41/12,2)*Intro!$F$7-ROUND($J$45*0.05,2))*0.01-ROUND($J$45*0.05,2)</f>
        <v>1668.1792203</v>
      </c>
      <c r="J41" s="46">
        <f t="shared" si="1"/>
        <v>1668.1792203</v>
      </c>
    </row>
    <row r="42" spans="2:10" ht="19.5" customHeight="1">
      <c r="B42" s="43">
        <v>10</v>
      </c>
      <c r="C42" s="44">
        <f>Indices!C14</f>
        <v>469</v>
      </c>
      <c r="D42" s="46">
        <f>ROUNDDOWN($E$7*C42/12,2)-ROUNDDOWN($E$7*C42/12,2)*Intro!$F$7-ROUNDDOWN($E$7*C42/12,2)*Intro!$F$17*Intro!$F$19-ROUNDDOWN($E$7*C42/12,2)*Intro!$F$17*Intro!$F$21-(ROUNDDOWN($E$7*C42/12,2)-ROUNDDOWN($E$7*C42/12,2)*Intro!$F$7)*0.01</f>
        <v>1774.0973063999998</v>
      </c>
      <c r="E42" s="44">
        <f t="shared" si="2"/>
        <v>469</v>
      </c>
      <c r="F42" s="46">
        <f>ROUNDDOWN($E$7*E42/12,2)-ROUNDDOWN($E$7*E42/12,2)*Intro!$F$7-(ROUNDDOWN($E$7*E42/12,2)+ROUNDDOWN($G$45,2))*Intro!$F$17*Intro!$F$19-(ROUNDDOWN($E$7*E42/12,2)+ROUNDDOWN($G$45,2))*Intro!$F$17*Intro!$F$21-(ROUNDDOWN($E$7*E42/12,2)-ROUNDDOWN($E$7*E42/12,2)*Intro!$F$7-ROUND($G$45*0.05,2))*0.01-ROUND($G$45*0.05,2)</f>
        <v>1774.0973063999998</v>
      </c>
      <c r="G42" s="46">
        <f t="shared" si="0"/>
        <v>1774.0973063999998</v>
      </c>
      <c r="H42" s="44">
        <f t="shared" si="3"/>
        <v>469</v>
      </c>
      <c r="I42" s="46">
        <f>ROUNDDOWN($E$7*H42/12,2)-ROUNDDOWN($E$7*H42/12,2)*Intro!$F$7-(ROUNDDOWN($E$7*H42/12,2)+ROUNDDOWN($J$45,2))*Intro!$F$17*Intro!$F$19-(ROUNDDOWN($E$7*H42/12,2)+ROUNDDOWN($J$45,2))*Intro!$F$17*Intro!$F$21-(ROUNDDOWN($E$7*H42/12,2)-ROUNDDOWN($E$7*H42/12,2)*Intro!$F$7-ROUND($J$45*0.05,2))*0.01-ROUND($J$45*0.05,2)</f>
        <v>1774.0973063999998</v>
      </c>
      <c r="J42" s="46">
        <f t="shared" si="1"/>
        <v>1774.0973063999998</v>
      </c>
    </row>
    <row r="43" spans="2:10" ht="19.5" customHeight="1" thickBot="1">
      <c r="B43" s="48">
        <v>11</v>
      </c>
      <c r="C43" s="49">
        <f>Indices!C15</f>
        <v>515</v>
      </c>
      <c r="D43" s="51">
        <f>ROUNDDOWN($E$7*C43/12,2)-ROUNDDOWN($E$7*C43/12,2)*Intro!$F$7-ROUNDDOWN($E$7*C43/12,2)*Intro!$F$17*Intro!$F$19-ROUNDDOWN($E$7*C43/12,2)*Intro!$F$17*Intro!$F$21-(ROUNDDOWN($E$7*C43/12,2)-ROUNDDOWN($E$7*C43/12,2)*Intro!$F$7)*0.01</f>
        <v>1948.1085084</v>
      </c>
      <c r="E43" s="49">
        <f t="shared" si="2"/>
        <v>515</v>
      </c>
      <c r="F43" s="51">
        <f>ROUNDDOWN($E$7*E43/12,2)-ROUNDDOWN($E$7*E43/12,2)*Intro!$F$7-(ROUNDDOWN($E$7*E43/12,2)+ROUNDDOWN($G$45,2))*Intro!$F$17*Intro!$F$19-(ROUNDDOWN($E$7*E43/12,2)+ROUNDDOWN($G$45,2))*Intro!$F$17*Intro!$F$21-(ROUNDDOWN($E$7*E43/12,2)-ROUNDDOWN($E$7*E43/12,2)*Intro!$F$7-ROUND($G$45*0.05,2))*0.01-ROUND($G$45*0.05,2)</f>
        <v>1948.1085084</v>
      </c>
      <c r="G43" s="51">
        <f t="shared" si="0"/>
        <v>1948.1085084</v>
      </c>
      <c r="H43" s="49">
        <f t="shared" si="3"/>
        <v>515</v>
      </c>
      <c r="I43" s="51">
        <f>ROUNDDOWN($E$7*H43/12,2)-ROUNDDOWN($E$7*H43/12,2)*Intro!$F$7-(ROUNDDOWN($E$7*H43/12,2)+ROUNDDOWN($J$45,2))*Intro!$F$17*Intro!$F$19-(ROUNDDOWN($E$7*H43/12,2)+ROUNDDOWN($J$45,2))*Intro!$F$17*Intro!$F$21-(ROUNDDOWN($E$7*H43/12,2)-ROUNDDOWN($E$7*H43/12,2)*Intro!$F$7-ROUND($J$45*0.05,2))*0.01-ROUND($J$45*0.05,2)</f>
        <v>1948.1085084</v>
      </c>
      <c r="J43" s="51">
        <f t="shared" si="1"/>
        <v>1948.1085084</v>
      </c>
    </row>
    <row r="44" spans="3:11" ht="19.5" customHeight="1" thickBot="1" thickTop="1">
      <c r="C44" s="53"/>
      <c r="D44" s="53"/>
      <c r="E44" s="53"/>
      <c r="F44" s="176" t="s">
        <v>10</v>
      </c>
      <c r="G44" s="176"/>
      <c r="H44" s="176"/>
      <c r="I44" s="176"/>
      <c r="J44" s="176"/>
      <c r="K44" s="87"/>
    </row>
    <row r="45" spans="1:12" ht="19.5" customHeight="1" thickBot="1" thickTop="1">
      <c r="A45" s="56"/>
      <c r="B45" s="56"/>
      <c r="C45" s="90" t="s">
        <v>9</v>
      </c>
      <c r="D45" s="92">
        <f>Intro!H4</f>
        <v>39447</v>
      </c>
      <c r="E45" s="56"/>
      <c r="F45" s="174">
        <f>Intro!C4</f>
        <v>192.8</v>
      </c>
      <c r="G45" s="175"/>
      <c r="H45" s="91"/>
      <c r="I45" s="174">
        <f>Intro!F4</f>
        <v>241</v>
      </c>
      <c r="J45" s="175"/>
      <c r="K45" s="56"/>
      <c r="L45" s="56"/>
    </row>
    <row r="46" spans="3:5" ht="15" thickTop="1">
      <c r="C46" s="63"/>
      <c r="D46" s="63"/>
      <c r="E46" s="63"/>
    </row>
    <row r="47" spans="3:5" ht="14.25">
      <c r="C47" s="63"/>
      <c r="D47" s="63"/>
      <c r="E47" s="63"/>
    </row>
    <row r="48" spans="3:5" ht="14.25">
      <c r="C48" s="28"/>
      <c r="D48" s="28"/>
      <c r="E48" s="28"/>
    </row>
  </sheetData>
  <sheetProtection sheet="1"/>
  <mergeCells count="33">
    <mergeCell ref="H24:K25"/>
    <mergeCell ref="G18:G19"/>
    <mergeCell ref="B12:B13"/>
    <mergeCell ref="C31:C32"/>
    <mergeCell ref="C14:F15"/>
    <mergeCell ref="E9:F9"/>
    <mergeCell ref="B2:C2"/>
    <mergeCell ref="C29:J29"/>
    <mergeCell ref="C30:D30"/>
    <mergeCell ref="E30:G30"/>
    <mergeCell ref="H30:J30"/>
    <mergeCell ref="E7:F7"/>
    <mergeCell ref="E8:F8"/>
    <mergeCell ref="F18:F19"/>
    <mergeCell ref="D31:D32"/>
    <mergeCell ref="H31:H32"/>
    <mergeCell ref="F45:G45"/>
    <mergeCell ref="I45:J45"/>
    <mergeCell ref="B4:H5"/>
    <mergeCell ref="D12:D13"/>
    <mergeCell ref="E16:G17"/>
    <mergeCell ref="E18:E19"/>
    <mergeCell ref="B31:B32"/>
    <mergeCell ref="I4:J4"/>
    <mergeCell ref="I5:J5"/>
    <mergeCell ref="H20:K21"/>
    <mergeCell ref="G7:J9"/>
    <mergeCell ref="F44:J44"/>
    <mergeCell ref="C11:D11"/>
    <mergeCell ref="E31:E32"/>
    <mergeCell ref="F31:G31"/>
    <mergeCell ref="I31:J31"/>
    <mergeCell ref="C12:C13"/>
  </mergeCells>
  <conditionalFormatting sqref="B33:J43">
    <cfRule type="expression" priority="1" dxfId="0" stopIfTrue="1">
      <formula>(EVEN(ROW())=ROW())</formula>
    </cfRule>
  </conditionalFormatting>
  <conditionalFormatting sqref="E20:G26 B14:B24 C16:D24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 verticalCentered="1"/>
  <pageMargins left="0.3937007874015748" right="0.3937007874015748" top="0.3937007874015748" bottom="0.3937007874015748" header="0" footer="0"/>
  <pageSetup fitToHeight="1" fitToWidth="1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"/>
  <sheetViews>
    <sheetView showGridLines="0" showRowColHeaders="0" zoomScaleSheetLayoutView="100" zoomScalePageLayoutView="0" workbookViewId="0" topLeftCell="A1">
      <selection activeCell="B4" sqref="B4:H5"/>
    </sheetView>
  </sheetViews>
  <sheetFormatPr defaultColWidth="11.19921875" defaultRowHeight="15"/>
  <cols>
    <col min="1" max="1" width="2.59765625" style="22" customWidth="1"/>
    <col min="2" max="2" width="8.09765625" style="22" customWidth="1"/>
    <col min="3" max="3" width="8.59765625" style="22" customWidth="1"/>
    <col min="4" max="4" width="12.59765625" style="22" customWidth="1"/>
    <col min="5" max="5" width="8.59765625" style="22" customWidth="1"/>
    <col min="6" max="7" width="12.59765625" style="22" customWidth="1"/>
    <col min="8" max="8" width="8.59765625" style="22" customWidth="1"/>
    <col min="9" max="10" width="12.59765625" style="22" customWidth="1"/>
    <col min="11" max="11" width="8.5" style="22" customWidth="1"/>
    <col min="12" max="12" width="8.8984375" style="22" customWidth="1"/>
    <col min="13" max="14" width="11" style="22" customWidth="1"/>
    <col min="15" max="15" width="11.09765625" style="22" customWidth="1"/>
    <col min="16" max="16384" width="11" style="22" customWidth="1"/>
  </cols>
  <sheetData>
    <row r="2" spans="2:10" ht="24" customHeight="1">
      <c r="B2" s="201" t="s">
        <v>33</v>
      </c>
      <c r="C2" s="201"/>
      <c r="D2" s="74"/>
      <c r="E2" s="74"/>
      <c r="F2" s="74"/>
      <c r="G2" s="74"/>
      <c r="H2" s="74"/>
      <c r="I2" s="74"/>
      <c r="J2" s="74"/>
    </row>
    <row r="3" ht="10.5" customHeight="1" thickBot="1">
      <c r="B3" s="23"/>
    </row>
    <row r="4" spans="2:10" s="24" customFormat="1" ht="36" customHeight="1" thickTop="1">
      <c r="B4" s="205" t="s">
        <v>56</v>
      </c>
      <c r="C4" s="206"/>
      <c r="D4" s="206"/>
      <c r="E4" s="206"/>
      <c r="F4" s="206"/>
      <c r="G4" s="206"/>
      <c r="H4" s="206"/>
      <c r="I4" s="213" t="s">
        <v>55</v>
      </c>
      <c r="J4" s="214"/>
    </row>
    <row r="5" spans="2:10" s="24" customFormat="1" ht="36" customHeight="1" thickBot="1">
      <c r="B5" s="207"/>
      <c r="C5" s="208"/>
      <c r="D5" s="208"/>
      <c r="E5" s="208"/>
      <c r="F5" s="208"/>
      <c r="G5" s="208"/>
      <c r="H5" s="208"/>
      <c r="I5" s="215">
        <f>Intro!H2</f>
        <v>40543</v>
      </c>
      <c r="J5" s="216"/>
    </row>
    <row r="6" spans="2:8" s="26" customFormat="1" ht="9.75" customHeight="1" thickTop="1">
      <c r="B6" s="25"/>
      <c r="C6" s="25"/>
      <c r="D6" s="25"/>
      <c r="E6" s="25"/>
      <c r="F6" s="25"/>
      <c r="G6" s="25"/>
      <c r="H6" s="25"/>
    </row>
    <row r="7" spans="2:11" s="28" customFormat="1" ht="18" customHeight="1">
      <c r="B7" s="27"/>
      <c r="D7" s="29" t="s">
        <v>4</v>
      </c>
      <c r="E7" s="202">
        <f>Intro!F2</f>
        <v>55.5635</v>
      </c>
      <c r="F7" s="203"/>
      <c r="G7" s="209" t="s">
        <v>32</v>
      </c>
      <c r="H7" s="209"/>
      <c r="I7" s="209"/>
      <c r="J7" s="209"/>
      <c r="K7" s="75"/>
    </row>
    <row r="8" spans="2:10" s="28" customFormat="1" ht="18" customHeight="1">
      <c r="B8" s="27"/>
      <c r="D8" s="29" t="s">
        <v>2</v>
      </c>
      <c r="E8" s="204">
        <f>ROUNDDOWN(E7/12,2)</f>
        <v>4.63</v>
      </c>
      <c r="F8" s="204"/>
      <c r="G8" s="209"/>
      <c r="H8" s="209"/>
      <c r="I8" s="209"/>
      <c r="J8" s="209"/>
    </row>
    <row r="9" spans="2:11" s="28" customFormat="1" ht="18" customHeight="1">
      <c r="B9" s="27"/>
      <c r="D9" s="29" t="s">
        <v>3</v>
      </c>
      <c r="E9" s="204">
        <f>ROUNDDOWN($E$7/12,2)+ROUNDDOWN($E$7/12,2)*0.03-ROUNDDOWN($E$7/12,2)*Intro!$F$7-(ROUNDDOWN($E$7/12,2)+ROUNDDOWN($E$7/12,2)*0.03)*Intro!$F$17*Intro!$F$19-(ROUNDDOWN($E$7/12,2)+ROUNDDOWN($E$7/12,2)*0.03)*Intro!$F$17*Intro!$F$21-(ROUNDDOWN($E$7/12,2)+ROUNDDOWN($E$7/12,2)*0.03-ROUNDDOWN($E$7/12,2)*Intro!$F$7-ROUNDDOWN($E$7/12,2)*0.03*0.05)*0.01</f>
        <v>3.9091599299999995</v>
      </c>
      <c r="F9" s="204"/>
      <c r="G9" s="209"/>
      <c r="H9" s="209"/>
      <c r="I9" s="209"/>
      <c r="J9" s="209"/>
      <c r="K9" s="75"/>
    </row>
    <row r="10" spans="2:7" s="28" customFormat="1" ht="18" customHeight="1">
      <c r="B10" s="27"/>
      <c r="D10" s="77" t="s">
        <v>20</v>
      </c>
      <c r="E10" s="76"/>
      <c r="F10" s="76"/>
      <c r="G10" s="79"/>
    </row>
    <row r="11" spans="1:12" s="28" customFormat="1" ht="22.5" customHeight="1" thickBot="1">
      <c r="A11" s="56"/>
      <c r="B11" s="56"/>
      <c r="C11" s="57"/>
      <c r="D11" s="57"/>
      <c r="E11" s="58"/>
      <c r="F11" s="59"/>
      <c r="G11" s="59"/>
      <c r="H11" s="60"/>
      <c r="I11" s="61"/>
      <c r="J11" s="61"/>
      <c r="K11" s="61"/>
      <c r="L11" s="56"/>
    </row>
    <row r="12" spans="1:12" s="33" customFormat="1" ht="19.5" customHeight="1" thickBot="1" thickTop="1">
      <c r="A12" s="22"/>
      <c r="B12" s="22"/>
      <c r="C12" s="181" t="s">
        <v>17</v>
      </c>
      <c r="D12" s="182"/>
      <c r="E12" s="56"/>
      <c r="F12" s="22"/>
      <c r="G12" s="22"/>
      <c r="H12" s="56"/>
      <c r="I12" s="22"/>
      <c r="J12" s="22"/>
      <c r="K12" s="78"/>
      <c r="L12" s="78"/>
    </row>
    <row r="13" spans="1:12" s="33" customFormat="1" ht="19.5" customHeight="1" thickTop="1">
      <c r="A13" s="28"/>
      <c r="B13" s="217" t="s">
        <v>13</v>
      </c>
      <c r="C13" s="190" t="s">
        <v>14</v>
      </c>
      <c r="D13" s="188" t="s">
        <v>15</v>
      </c>
      <c r="E13" s="28"/>
      <c r="F13" s="28"/>
      <c r="G13" s="28"/>
      <c r="H13" s="28"/>
      <c r="I13" s="28"/>
      <c r="J13" s="79"/>
      <c r="K13" s="79"/>
      <c r="L13" s="79"/>
    </row>
    <row r="14" spans="1:12" s="34" customFormat="1" ht="19.5" customHeight="1" thickBot="1">
      <c r="A14" s="63"/>
      <c r="B14" s="218"/>
      <c r="C14" s="191"/>
      <c r="D14" s="189" t="s">
        <v>18</v>
      </c>
      <c r="E14" s="63"/>
      <c r="F14" s="63"/>
      <c r="G14" s="63"/>
      <c r="H14" s="63"/>
      <c r="I14" s="63"/>
      <c r="J14" s="63"/>
      <c r="K14" s="63"/>
      <c r="L14" s="63"/>
    </row>
    <row r="15" spans="1:12" s="34" customFormat="1" ht="15.75" thickTop="1">
      <c r="A15" s="63"/>
      <c r="B15" s="37">
        <v>1</v>
      </c>
      <c r="C15" s="183" t="s">
        <v>47</v>
      </c>
      <c r="D15" s="183"/>
      <c r="E15" s="183"/>
      <c r="F15" s="184"/>
      <c r="G15" s="63"/>
      <c r="H15" s="63"/>
      <c r="I15" s="63"/>
      <c r="J15" s="79"/>
      <c r="K15" s="79"/>
      <c r="L15" s="79"/>
    </row>
    <row r="16" spans="1:12" ht="19.5" customHeight="1" thickBot="1">
      <c r="A16" s="63"/>
      <c r="B16" s="43">
        <v>2</v>
      </c>
      <c r="C16" s="185"/>
      <c r="D16" s="185"/>
      <c r="E16" s="186"/>
      <c r="F16" s="187"/>
      <c r="G16" s="63"/>
      <c r="H16" s="63"/>
      <c r="I16" s="63"/>
      <c r="J16" s="63"/>
      <c r="K16" s="63"/>
      <c r="L16" s="63"/>
    </row>
    <row r="17" spans="1:12" ht="19.5" customHeight="1" thickTop="1">
      <c r="A17" s="28"/>
      <c r="B17" s="43">
        <v>3</v>
      </c>
      <c r="C17" s="44">
        <f>Indices!F7</f>
        <v>432</v>
      </c>
      <c r="D17" s="65">
        <f>ROUNDDOWN($E$7*C17/12/2,2)+ROUNDDOWN($E$7*C17/12/2,2)*0.03-ROUNDDOWN($E$7*C17/12/2,2)*Intro!$F$7-(ROUNDDOWN($E$7*C17/12/2,2)+ROUNDDOWN($E$7*C17/12/2,2)*0.03)*Intro!$F$17*Intro!$F$19-(ROUNDDOWN($E$7*C17/12/2,2)+ROUNDDOWN($E$7*C17/12/2,2)*0.03)*Intro!$F$17*Intro!$F$21-ROUND((($E$7*C17/12/2)*0.03)*0.05,2)</f>
        <v>852.26150988</v>
      </c>
      <c r="E17" s="195" t="s">
        <v>45</v>
      </c>
      <c r="F17" s="195"/>
      <c r="G17" s="196"/>
      <c r="H17" s="63"/>
      <c r="I17" s="63"/>
      <c r="J17" s="63"/>
      <c r="K17" s="79"/>
      <c r="L17" s="28"/>
    </row>
    <row r="18" spans="2:10" ht="19.5" customHeight="1" thickBot="1">
      <c r="B18" s="43">
        <v>4</v>
      </c>
      <c r="C18" s="44">
        <f>Indices!F8</f>
        <v>445</v>
      </c>
      <c r="D18" s="65">
        <f>ROUNDDOWN($E$7*C18/12/2,2)+ROUNDDOWN($E$7*C18/12/2,2)*0.03-ROUNDDOWN($E$7*C18/12/2,2)*Intro!$F$7-(ROUNDDOWN($E$7*C18/12/2,2)+ROUNDDOWN($E$7*C18/12/2,2)*0.03)*Intro!$F$17*Intro!$F$19-(ROUNDDOWN($E$7*C18/12/2,2)+ROUNDDOWN($E$7*C18/12/2,2)*0.03)*Intro!$F$17*Intro!$F$21-ROUND((($E$7*C18/12/2)*0.03)*0.05,2)</f>
        <v>877.89759766</v>
      </c>
      <c r="E18" s="197"/>
      <c r="F18" s="197"/>
      <c r="G18" s="198"/>
      <c r="H18" s="63"/>
      <c r="I18" s="63"/>
      <c r="J18" s="63"/>
    </row>
    <row r="19" spans="2:11" ht="19.5" customHeight="1" thickTop="1">
      <c r="B19" s="43">
        <v>5</v>
      </c>
      <c r="C19" s="44">
        <f>Indices!F9</f>
        <v>458</v>
      </c>
      <c r="D19" s="65">
        <f>ROUNDDOWN($E$7*C19/12/2,2)+ROUNDDOWN($E$7*C19/12/2,2)*0.03-ROUNDDOWN($E$7*C19/12/2,2)*Intro!$F$7-(ROUNDDOWN($E$7*C19/12/2,2)+ROUNDDOWN($E$7*C19/12/2,2)*0.03)*Intro!$F$17*Intro!$F$19-(ROUNDDOWN($E$7*C19/12/2,2)+ROUNDDOWN($E$7*C19/12/2,2)*0.03)*Intro!$F$17*Intro!$F$21-ROUND((($E$7*C19/12/2)*0.03)*0.05,2)</f>
        <v>903.5522218599999</v>
      </c>
      <c r="E19" s="178" t="s">
        <v>13</v>
      </c>
      <c r="F19" s="179" t="s">
        <v>14</v>
      </c>
      <c r="G19" s="188" t="s">
        <v>15</v>
      </c>
      <c r="H19" s="66" t="s">
        <v>16</v>
      </c>
      <c r="I19" s="84"/>
      <c r="J19" s="84"/>
      <c r="K19" s="84"/>
    </row>
    <row r="20" spans="2:11" ht="19.5" customHeight="1" thickBot="1">
      <c r="B20" s="43">
        <v>6</v>
      </c>
      <c r="C20" s="44">
        <f>Indices!F10</f>
        <v>467</v>
      </c>
      <c r="D20" s="65">
        <f>ROUNDDOWN($E$7*C20/12/2,2)+ROUNDDOWN($E$7*C20/12/2,2)*0.03-ROUNDDOWN($E$7*C20/12/2,2)*Intro!$F$7-(ROUNDDOWN($E$7*C20/12/2,2)+ROUNDDOWN($E$7*C20/12/2,2)*0.03)*Intro!$F$17*Intro!$F$19-(ROUNDDOWN($E$7*C20/12/2,2)+ROUNDDOWN($E$7*C20/12/2,2)*0.03)*Intro!$F$17*Intro!$F$21-ROUND((($E$7*C20/12/2)*0.03)*0.05,2)</f>
        <v>921.3121211399999</v>
      </c>
      <c r="E20" s="219"/>
      <c r="F20" s="180"/>
      <c r="G20" s="189" t="s">
        <v>18</v>
      </c>
      <c r="H20" s="85" t="str">
        <f>"Retraite "&amp;Intro!F7*100&amp;" % du traitement brut"</f>
        <v>Retraite 9,54 % du traitement brut</v>
      </c>
      <c r="I20" s="71"/>
      <c r="J20" s="71"/>
      <c r="K20" s="71"/>
    </row>
    <row r="21" spans="2:11" ht="19.5" customHeight="1" thickTop="1">
      <c r="B21" s="43">
        <v>7</v>
      </c>
      <c r="C21" s="44">
        <f>Indices!F11</f>
        <v>495</v>
      </c>
      <c r="D21" s="65">
        <f>ROUNDDOWN($E$7*C21/12/2,2)+ROUNDDOWN($E$7*C21/12/2,2)*0.03-ROUNDDOWN($E$7*C21/12/2,2)*Intro!$F$7-(ROUNDDOWN($E$7*C21/12/2,2)+ROUNDDOWN($E$7*C21/12/2,2)*0.03)*Intro!$F$17*Intro!$F$19-(ROUNDDOWN($E$7*C21/12/2,2)+ROUNDDOWN($E$7*C21/12/2,2)*0.03)*Intro!$F$17*Intro!$F$21-ROUND((($E$7*C21/12/2)*0.03)*0.05,2)</f>
        <v>976.5451955799999</v>
      </c>
      <c r="E21" s="67">
        <v>1</v>
      </c>
      <c r="F21" s="68">
        <f>Indices!I5</f>
        <v>495</v>
      </c>
      <c r="G21" s="64">
        <f>ROUNDDOWN($E$7*F21/12/2,2)+ROUNDDOWN($E$7*F21/12/2,2)*0.03-ROUNDDOWN($E$7*F21/12/2,2)*Intro!$F$7-(ROUNDDOWN($E$7*F21/12/2,2)+ROUNDDOWN($E$7*F21/12/2,2)*0.03)*Intro!$F$17*Intro!$F$19-(ROUNDDOWN($E$7*F21/12/2,2)+ROUNDDOWN($E$7*F21/12/2,2)*0.03)*Intro!$F$17*Intro!$F$21-ROUND((($E$7*F21/12/2)*0.03)*0.05,2)</f>
        <v>976.5451955799999</v>
      </c>
      <c r="H21" s="199" t="s">
        <v>44</v>
      </c>
      <c r="I21" s="200"/>
      <c r="J21" s="200"/>
      <c r="K21" s="200"/>
    </row>
    <row r="22" spans="2:11" ht="19.5" customHeight="1">
      <c r="B22" s="43">
        <v>8</v>
      </c>
      <c r="C22" s="44">
        <f>Indices!F12</f>
        <v>531</v>
      </c>
      <c r="D22" s="65">
        <f>ROUNDDOWN($E$7*C22/12/2,2)+ROUNDDOWN($E$7*C22/12/2,2)*0.03-ROUNDDOWN($E$7*C22/12/2,2)*Intro!$F$7-(ROUNDDOWN($E$7*C22/12/2,2)+ROUNDDOWN($E$7*C22/12/2,2)*0.03)*Intro!$F$17*Intro!$F$19-(ROUNDDOWN($E$7*C22/12/2,2)+ROUNDDOWN($E$7*C22/12/2,2)*0.03)*Intro!$F$17*Intro!$F$21-ROUND((($E$7*C22/12/2)*0.03)*0.05,2)</f>
        <v>1047.5762562800003</v>
      </c>
      <c r="E22" s="69">
        <v>2</v>
      </c>
      <c r="F22" s="70">
        <f>Indices!I6</f>
        <v>560</v>
      </c>
      <c r="G22" s="65">
        <f>ROUNDDOWN($E$7*F22/12/2,2)+ROUNDDOWN($E$7*F22/12/2,2)*0.03-ROUNDDOWN($E$7*F22/12/2,2)*Intro!$F$7-(ROUNDDOWN($E$7*F22/12/2,2)+ROUNDDOWN($E$7*F22/12/2,2)*0.03)*Intro!$F$17*Intro!$F$19-(ROUNDDOWN($E$7*F22/12/2,2)+ROUNDDOWN($E$7*F22/12/2,2)*0.03)*Intro!$F$17*Intro!$F$21-ROUND((($E$7*F22/12/2)*0.03)*0.05,2)</f>
        <v>1104.78978016</v>
      </c>
      <c r="H22" s="199"/>
      <c r="I22" s="200"/>
      <c r="J22" s="200"/>
      <c r="K22" s="200"/>
    </row>
    <row r="23" spans="2:11" ht="19.5" customHeight="1">
      <c r="B23" s="43">
        <v>9</v>
      </c>
      <c r="C23" s="44">
        <f>Indices!F13</f>
        <v>567</v>
      </c>
      <c r="D23" s="65">
        <f>ROUNDDOWN($E$7*C23/12/2,2)+ROUNDDOWN($E$7*C23/12/2,2)*0.03-ROUNDDOWN($E$7*C23/12/2,2)*Intro!$F$7-(ROUNDDOWN($E$7*C23/12/2,2)+ROUNDDOWN($E$7*C23/12/2,2)*0.03)*Intro!$F$17*Intro!$F$19-(ROUNDDOWN($E$7*C23/12/2,2)+ROUNDDOWN($E$7*C23/12/2,2)*0.03)*Intro!$F$17*Intro!$F$21-ROUND((($E$7*C23/12/2)*0.03)*0.05,2)</f>
        <v>1118.58878056</v>
      </c>
      <c r="E23" s="69">
        <v>3</v>
      </c>
      <c r="F23" s="70">
        <f>Indices!I7</f>
        <v>601</v>
      </c>
      <c r="G23" s="65">
        <f>ROUNDDOWN($E$7*F23/12/2,2)+ROUNDDOWN($E$7*F23/12/2,2)*0.03-ROUNDDOWN($E$7*F23/12/2,2)*Intro!$F$7-(ROUNDDOWN($E$7*F23/12/2,2)+ROUNDDOWN($E$7*F23/12/2,2)*0.03)*Intro!$F$17*Intro!$F$19-(ROUNDDOWN($E$7*F23/12/2,2)+ROUNDDOWN($E$7*F23/12/2,2)*0.03)*Intro!$F$17*Intro!$F$21-ROUND((($E$7*F23/12/2)*0.03)*0.05,2)</f>
        <v>1185.6674788000003</v>
      </c>
      <c r="H23" s="85" t="str">
        <f>"CRDS "&amp;Intro!F21*100&amp;"% (sur "&amp;Intro!F17*100&amp;"% de tous les revenus, dont IRL)"</f>
        <v>CRDS 0,5% (sur 98,25% de tous les revenus, dont IRL)</v>
      </c>
      <c r="I23" s="86"/>
      <c r="J23" s="86"/>
      <c r="K23" s="71"/>
    </row>
    <row r="24" spans="2:11" ht="19.5" customHeight="1">
      <c r="B24" s="43">
        <v>10</v>
      </c>
      <c r="C24" s="44">
        <f>Indices!F14</f>
        <v>612</v>
      </c>
      <c r="D24" s="65">
        <f>ROUNDDOWN($E$7*C24/12/2,2)+ROUNDDOWN($E$7*C24/12/2,2)*0.03-ROUNDDOWN($E$7*C24/12/2,2)*Intro!$F$7-(ROUNDDOWN($E$7*C24/12/2,2)+ROUNDDOWN($E$7*C24/12/2,2)*0.03)*Intro!$F$17*Intro!$F$19-(ROUNDDOWN($E$7*C24/12/2,2)+ROUNDDOWN($E$7*C24/12/2,2)*0.03)*Intro!$F$17*Intro!$F$21-ROUND((($E$7*C24/12/2)*0.03)*0.05,2)</f>
        <v>1207.3612041199997</v>
      </c>
      <c r="E24" s="69">
        <v>4</v>
      </c>
      <c r="F24" s="70">
        <f>Indices!I8</f>
        <v>642</v>
      </c>
      <c r="G24" s="65">
        <f>ROUNDDOWN($E$7*F24/12/2,2)+ROUNDDOWN($E$7*F24/12/2,2)*0.03-ROUNDDOWN($E$7*F24/12/2,2)*Intro!$F$7-(ROUNDDOWN($E$7*F24/12/2,2)+ROUNDDOWN($E$7*F24/12/2,2)*0.03)*Intro!$F$17*Intro!$F$19-(ROUNDDOWN($E$7*F24/12/2,2)+ROUNDDOWN($E$7*F24/12/2,2)*0.03)*Intro!$F$17*Intro!$F$21-ROUND((($E$7*F24/12/2)*0.03)*0.05,2)</f>
        <v>1266.55517744</v>
      </c>
      <c r="H24" s="85" t="str">
        <f>"CSG "&amp;Intro!F19*100&amp;"% (sur "&amp;Intro!F17*100&amp;"% de tous les revenus, dont IRL)"</f>
        <v>CSG 7,5% (sur 98,25% de tous les revenus, dont IRL)</v>
      </c>
      <c r="I24" s="71"/>
      <c r="J24" s="71"/>
      <c r="K24" s="71"/>
    </row>
    <row r="25" spans="2:11" ht="19.5" customHeight="1" thickBot="1">
      <c r="B25" s="48">
        <v>11</v>
      </c>
      <c r="C25" s="49">
        <f>Indices!F15</f>
        <v>658</v>
      </c>
      <c r="D25" s="72">
        <f>ROUNDDOWN($E$7*C25/12/2,2)+ROUNDDOWN($E$7*C25/12/2,2)*0.03-ROUNDDOWN($E$7*C25/12/2,2)*Intro!$F$7-(ROUNDDOWN($E$7*C25/12/2,2)+ROUNDDOWN($E$7*C25/12/2,2)*0.03)*Intro!$F$17*Intro!$F$19-(ROUNDDOWN($E$7*C25/12/2,2)+ROUNDDOWN($E$7*C25/12/2,2)*0.03)*Intro!$F$17*Intro!$F$21-ROUND((($E$7*C25/12/2)*0.03)*0.05,2)</f>
        <v>1298.11407712</v>
      </c>
      <c r="E25" s="69">
        <v>5</v>
      </c>
      <c r="F25" s="70">
        <f>Indices!I9</f>
        <v>695</v>
      </c>
      <c r="G25" s="93">
        <f>ROUNDDOWN($E$7*F25/12/2,2)+ROUNDDOWN($E$7*F25/12/2,2)*0.03-ROUNDDOWN($E$7*F25/12/2,2)*Intro!$F$7-(ROUNDDOWN($E$7*F25/12/2,2)+ROUNDDOWN($E$7*F25/12/2,2)*0.03)*Intro!$F$17*Intro!$F$19-(ROUNDDOWN($E$7*F25/12/2,2)+ROUNDDOWN($E$7*F25/12/2,2)*0.03)*Intro!$F$17*Intro!$F$21-ROUND((($E$7*F25/12/2)*0.03)*0.05,2)-(ROUNDDOWN($E$7*F25/12/2,2)+ROUNDDOWN($E$7*F25/12/2,2)*0.03-ROUNDDOWN($E$7*F25/12/2,2)*Intro!$F$7-ROUND($E$7*F25/12/2*0.03*0.05,2))*0.01</f>
        <v>1356.1032499199998</v>
      </c>
      <c r="H25" s="199" t="s">
        <v>41</v>
      </c>
      <c r="I25" s="200"/>
      <c r="J25" s="200"/>
      <c r="K25" s="200"/>
    </row>
    <row r="26" spans="5:11" ht="19.5" customHeight="1" thickTop="1">
      <c r="E26" s="43">
        <v>6</v>
      </c>
      <c r="F26" s="70">
        <f>Indices!I10</f>
        <v>741</v>
      </c>
      <c r="G26" s="93">
        <f>ROUNDDOWN($E$7*F26/12/2,2)+ROUNDDOWN($E$7*F26/12/2,2)*0.03-ROUNDDOWN($E$7*F26/12/2,2)*Intro!$F$7-(ROUNDDOWN($E$7*F26/12/2,2)+ROUNDDOWN($E$7*F26/12/2,2)*0.03)*Intro!$F$17*Intro!$F$19-(ROUNDDOWN($E$7*F26/12/2,2)+ROUNDDOWN($E$7*F26/12/2,2)*0.03)*Intro!$F$17*Intro!$F$21-ROUND((($E$7*F26/12/2)*0.03)*0.05,2)-(ROUNDDOWN($E$7*F26/12/2,2)+ROUNDDOWN($E$7*F26/12/2,2)*0.03-ROUNDDOWN($E$7*F26/12/2,2)*Intro!$F$7-ROUND($E$7*F26/12/2*0.03*0.05,2))*0.01</f>
        <v>1445.86237392</v>
      </c>
      <c r="H26" s="199"/>
      <c r="I26" s="200"/>
      <c r="J26" s="200"/>
      <c r="K26" s="200"/>
    </row>
    <row r="27" spans="3:9" ht="19.5" customHeight="1" thickBot="1">
      <c r="C27" s="28"/>
      <c r="D27" s="28"/>
      <c r="E27" s="48">
        <v>7</v>
      </c>
      <c r="F27" s="73">
        <f>Indices!I11</f>
        <v>783</v>
      </c>
      <c r="G27" s="94">
        <f>ROUNDDOWN($E$7*F27/12/2,2)+ROUNDDOWN($E$7*F27/12/2,2)*0.03-ROUNDDOWN($E$7*F27/12/2,2)*Intro!$F$7-(ROUNDDOWN($E$7*F27/12/2,2)+ROUNDDOWN($E$7*F27/12/2,2)*0.03)*Intro!$F$17*Intro!$F$19-(ROUNDDOWN($E$7*F27/12/2,2)+ROUNDDOWN($E$7*F27/12/2,2)*0.03)*Intro!$F$17*Intro!$F$21-ROUND((($E$7*F27/12/2)*0.03)*0.05,2)-(ROUNDDOWN($E$7*F27/12/2,2)+ROUNDDOWN($E$7*F27/12/2,2)*0.03-ROUNDDOWN($E$7*F27/12/2,2)*Intro!$F$7-ROUND($E$7*F27/12/2*0.03*0.05,2))*0.01</f>
        <v>1527.8047740000002</v>
      </c>
      <c r="I27" s="88"/>
    </row>
    <row r="28" spans="1:12" s="56" customFormat="1" ht="15" thickTop="1">
      <c r="A28" s="22"/>
      <c r="B28" s="22"/>
      <c r="C28" s="63"/>
      <c r="D28" s="63"/>
      <c r="E28" s="22"/>
      <c r="F28" s="22"/>
      <c r="G28" s="22"/>
      <c r="H28" s="22"/>
      <c r="I28" s="89"/>
      <c r="J28" s="22"/>
      <c r="K28" s="22"/>
      <c r="L28" s="22"/>
    </row>
    <row r="29" spans="1:12" s="56" customFormat="1" ht="39.75" customHeight="1">
      <c r="A29" s="22"/>
      <c r="B29" s="95" t="s">
        <v>31</v>
      </c>
      <c r="C29" s="63"/>
      <c r="D29" s="63"/>
      <c r="E29" s="63"/>
      <c r="F29" s="22"/>
      <c r="G29" s="22"/>
      <c r="H29" s="22"/>
      <c r="I29" s="22"/>
      <c r="J29" s="22"/>
      <c r="K29" s="22"/>
      <c r="L29" s="22"/>
    </row>
    <row r="30" spans="1:13" ht="19.5" customHeight="1" thickBot="1">
      <c r="A30" s="28"/>
      <c r="B30" s="28"/>
      <c r="C30" s="28"/>
      <c r="D30" s="28"/>
      <c r="E30" s="28"/>
      <c r="F30" s="28"/>
      <c r="G30" s="28"/>
      <c r="H30" s="28"/>
      <c r="I30" s="28"/>
      <c r="J30" s="77" t="s">
        <v>37</v>
      </c>
      <c r="K30" s="28"/>
      <c r="L30" s="28"/>
      <c r="M30" s="28"/>
    </row>
    <row r="31" spans="1:13" s="28" customFormat="1" ht="19.5" customHeight="1" thickBot="1" thickTop="1">
      <c r="A31" s="33"/>
      <c r="B31" s="32"/>
      <c r="C31" s="181" t="s">
        <v>12</v>
      </c>
      <c r="D31" s="212"/>
      <c r="E31" s="212"/>
      <c r="F31" s="212"/>
      <c r="G31" s="212"/>
      <c r="H31" s="212"/>
      <c r="I31" s="212"/>
      <c r="J31" s="182"/>
      <c r="K31" s="33"/>
      <c r="L31" s="33"/>
      <c r="M31" s="63"/>
    </row>
    <row r="32" spans="1:12" s="63" customFormat="1" ht="19.5" customHeight="1" thickBot="1" thickTop="1">
      <c r="A32" s="33"/>
      <c r="B32" s="32"/>
      <c r="C32" s="192" t="s">
        <v>26</v>
      </c>
      <c r="D32" s="193"/>
      <c r="E32" s="192" t="s">
        <v>0</v>
      </c>
      <c r="F32" s="193"/>
      <c r="G32" s="193"/>
      <c r="H32" s="192" t="s">
        <v>1</v>
      </c>
      <c r="I32" s="193"/>
      <c r="J32" s="194"/>
      <c r="K32" s="33"/>
      <c r="L32" s="33"/>
    </row>
    <row r="33" spans="1:12" s="63" customFormat="1" ht="19.5" customHeight="1" thickTop="1">
      <c r="A33" s="34"/>
      <c r="B33" s="217" t="s">
        <v>13</v>
      </c>
      <c r="C33" s="190" t="s">
        <v>14</v>
      </c>
      <c r="D33" s="188" t="s">
        <v>15</v>
      </c>
      <c r="E33" s="190" t="s">
        <v>14</v>
      </c>
      <c r="F33" s="177" t="s">
        <v>15</v>
      </c>
      <c r="G33" s="178"/>
      <c r="H33" s="190" t="s">
        <v>14</v>
      </c>
      <c r="I33" s="177" t="s">
        <v>15</v>
      </c>
      <c r="J33" s="178"/>
      <c r="K33" s="34"/>
      <c r="L33" s="34"/>
    </row>
    <row r="34" spans="1:13" s="63" customFormat="1" ht="19.5" customHeight="1" thickBot="1">
      <c r="A34" s="34"/>
      <c r="B34" s="218"/>
      <c r="C34" s="191"/>
      <c r="D34" s="189" t="s">
        <v>18</v>
      </c>
      <c r="E34" s="236"/>
      <c r="F34" s="35" t="s">
        <v>27</v>
      </c>
      <c r="G34" s="35" t="s">
        <v>28</v>
      </c>
      <c r="H34" s="236"/>
      <c r="I34" s="35" t="s">
        <v>27</v>
      </c>
      <c r="J34" s="35" t="s">
        <v>28</v>
      </c>
      <c r="K34" s="34"/>
      <c r="L34" s="34"/>
      <c r="M34" s="28"/>
    </row>
    <row r="35" spans="1:13" s="28" customFormat="1" ht="19.5" customHeight="1" thickTop="1">
      <c r="A35" s="22"/>
      <c r="B35" s="37">
        <v>1</v>
      </c>
      <c r="C35" s="38">
        <f>Indices!C5</f>
        <v>341</v>
      </c>
      <c r="D35" s="41">
        <f>ROUNDDOWN($E$7*C35/12/2,2)+ROUNDDOWN($E$7*C35/12/2,2)*0.03-ROUNDDOWN($E$7*C35/12/2,2)*Intro!$F$7-(ROUNDDOWN($E$7*C35/12/2,2)+ROUNDDOWN($E$7*C35/12/2,2)*0.03)*Intro!$F$17*Intro!$F$19-(ROUNDDOWN($E$7*C35/12/2,2)+ROUNDDOWN($E$7*C35/12/2,2)*0.03)*Intro!$F$17*Intro!$F$21-ROUND((($E$7*C35/12/2)*0.03)*0.05,2)</f>
        <v>672.73621332</v>
      </c>
      <c r="E35" s="40">
        <f>C35</f>
        <v>341</v>
      </c>
      <c r="F35" s="41">
        <f>ROUNDDOWN($E$7*E35/12/2,2)+ROUNDDOWN($E$7*E35/12/2,2)*0.03-ROUNDDOWN($E$7*E35/12/2,2)*Intro!$F$7-(ROUNDDOWN($E$7*E35/12/2,2)+ROUNDDOWN($E$7*E35/12/2,2)*0.03+ROUNDDOWN($F$47,2))*Intro!$F$17*Intro!$F$19-(ROUNDDOWN($E$7*E35/12/2,2)+ROUNDDOWN($E$7*E35/12/2,2)*0.03+ROUNDDOWN($F$47,2))*Intro!$F$17*Intro!$F$21-ROUND((($E$7*E35/12/2)*0.03+$F$47)*0.05,2)</f>
        <v>647.9421333199999</v>
      </c>
      <c r="G35" s="41">
        <f aca="true" t="shared" si="0" ref="G35:G45">F35+$F$47</f>
        <v>840.74213332</v>
      </c>
      <c r="H35" s="40">
        <f>C35</f>
        <v>341</v>
      </c>
      <c r="I35" s="41">
        <f>ROUNDDOWN($E$7*H35/12/2,2)+ROUNDDOWN($E$7*H35/12/2,2)*0.03-ROUNDDOWN($E$7*H35/12/2,2)*Intro!$F$7-(ROUNDDOWN($E$7*H35/12/2,2)+ROUNDDOWN($E$7*H35/12/2,2)*0.03+ROUNDDOWN($J$47,2))*Intro!$F$17*Intro!$F$19-(ROUNDDOWN($E$7*H35/12/2,2)+ROUNDDOWN($E$7*H35/12/2,2)*0.03+ROUNDDOWN($J$47,2))*Intro!$F$17*Intro!$F$21-ROUND((($E$7*H35/12/2)*0.03+$J$47)*0.05,2)</f>
        <v>672.73621332</v>
      </c>
      <c r="J35" s="41">
        <f aca="true" t="shared" si="1" ref="J35:J45">I35+$J$47</f>
        <v>672.73621332</v>
      </c>
      <c r="K35" s="22"/>
      <c r="L35" s="22"/>
      <c r="M35" s="22"/>
    </row>
    <row r="36" spans="2:10" ht="19.5" customHeight="1">
      <c r="B36" s="43">
        <v>2</v>
      </c>
      <c r="C36" s="44">
        <f>Indices!C6</f>
        <v>357</v>
      </c>
      <c r="D36" s="46">
        <f>ROUNDDOWN($E$7*C36/12/2,2)+ROUNDDOWN($E$7*C36/12/2,2)*0.03-ROUNDDOWN($E$7*C36/12/2,2)*Intro!$F$7-(ROUNDDOWN($E$7*C36/12/2,2)+ROUNDDOWN($E$7*C36/12/2,2)*0.03)*Intro!$F$17*Intro!$F$19-(ROUNDDOWN($E$7*C36/12/2,2)+ROUNDDOWN($E$7*C36/12/2,2)*0.03)*Intro!$F$17*Intro!$F$21-ROUND((($E$7*C36/12/2)*0.03)*0.05,2)</f>
        <v>704.2951129999999</v>
      </c>
      <c r="E36" s="44">
        <f aca="true" t="shared" si="2" ref="E36:E45">C36</f>
        <v>357</v>
      </c>
      <c r="F36" s="46">
        <f>ROUNDDOWN($E$7*E36/12/2,2)+ROUNDDOWN($E$7*E36/12/2,2)*0.03-ROUNDDOWN($E$7*E36/12/2,2)*Intro!$F$7-(ROUNDDOWN($E$7*E36/12/2,2)+ROUNDDOWN($E$7*E36/12/2,2)*0.03+ROUNDDOWN($F$47,2))*Intro!$F$17*Intro!$F$19-(ROUNDDOWN($E$7*E36/12/2,2)+ROUNDDOWN($E$7*E36/12/2,2)*0.03+ROUNDDOWN($F$47,2))*Intro!$F$17*Intro!$F$21-ROUND((($E$7*E36/12/2)*0.03+$F$47)*0.05,2)</f>
        <v>679.501033</v>
      </c>
      <c r="G36" s="46">
        <f t="shared" si="0"/>
        <v>872.301033</v>
      </c>
      <c r="H36" s="44">
        <f aca="true" t="shared" si="3" ref="H36:H45">C36</f>
        <v>357</v>
      </c>
      <c r="I36" s="46">
        <f>ROUNDDOWN($E$7*H36/12/2,2)+ROUNDDOWN($E$7*H36/12/2,2)*0.03-ROUNDDOWN($E$7*H36/12/2,2)*Intro!$F$7-(ROUNDDOWN($E$7*H36/12/2,2)+ROUNDDOWN($E$7*H36/12/2,2)*0.03+ROUNDDOWN($J$47,2))*Intro!$F$17*Intro!$F$19-(ROUNDDOWN($E$7*H36/12/2,2)+ROUNDDOWN($E$7*H36/12/2,2)*0.03+ROUNDDOWN($J$47,2))*Intro!$F$17*Intro!$F$21-ROUND((($E$7*H36/12/2)*0.03+$J$47)*0.05,2)</f>
        <v>704.2951129999999</v>
      </c>
      <c r="J36" s="46">
        <f t="shared" si="1"/>
        <v>704.2951129999999</v>
      </c>
    </row>
    <row r="37" spans="2:10" ht="19.5" customHeight="1">
      <c r="B37" s="43">
        <v>3</v>
      </c>
      <c r="C37" s="44">
        <f>Indices!C7</f>
        <v>366</v>
      </c>
      <c r="D37" s="46">
        <f>ROUNDDOWN($E$7*C37/12/2,2)+ROUNDDOWN($E$7*C37/12/2,2)*0.03-ROUNDDOWN($E$7*C37/12/2,2)*Intro!$F$7-(ROUNDDOWN($E$7*C37/12/2,2)+ROUNDDOWN($E$7*C37/12/2,2)*0.03)*Intro!$F$17*Intro!$F$19-(ROUNDDOWN($E$7*C37/12/2,2)+ROUNDDOWN($E$7*C37/12/2,2)*0.03)*Intro!$F$17*Intro!$F$21-ROUND((($E$7*C37/12/2)*0.03)*0.05,2)</f>
        <v>722.0550122800001</v>
      </c>
      <c r="E37" s="44">
        <f t="shared" si="2"/>
        <v>366</v>
      </c>
      <c r="F37" s="46">
        <f>ROUNDDOWN($E$7*E37/12/2,2)+ROUNDDOWN($E$7*E37/12/2,2)*0.03-ROUNDDOWN($E$7*E37/12/2,2)*Intro!$F$7-(ROUNDDOWN($E$7*E37/12/2,2)+ROUNDDOWN($E$7*E37/12/2,2)*0.03+ROUNDDOWN($F$47,2))*Intro!$F$17*Intro!$F$19-(ROUNDDOWN($E$7*E37/12/2,2)+ROUNDDOWN($E$7*E37/12/2,2)*0.03+ROUNDDOWN($F$47,2))*Intro!$F$17*Intro!$F$21-ROUND((($E$7*E37/12/2)*0.03+$F$47)*0.05,2)</f>
        <v>697.2609322800001</v>
      </c>
      <c r="G37" s="46">
        <f t="shared" si="0"/>
        <v>890.0609322800001</v>
      </c>
      <c r="H37" s="44">
        <f t="shared" si="3"/>
        <v>366</v>
      </c>
      <c r="I37" s="46">
        <f>ROUNDDOWN($E$7*H37/12/2,2)+ROUNDDOWN($E$7*H37/12/2,2)*0.03-ROUNDDOWN($E$7*H37/12/2,2)*Intro!$F$7-(ROUNDDOWN($E$7*H37/12/2,2)+ROUNDDOWN($E$7*H37/12/2,2)*0.03+ROUNDDOWN($J$47,2))*Intro!$F$17*Intro!$F$19-(ROUNDDOWN($E$7*H37/12/2,2)+ROUNDDOWN($E$7*H37/12/2,2)*0.03+ROUNDDOWN($J$47,2))*Intro!$F$17*Intro!$F$21-ROUND((($E$7*H37/12/2)*0.03+$J$47)*0.05,2)</f>
        <v>722.0550122800001</v>
      </c>
      <c r="J37" s="46">
        <f t="shared" si="1"/>
        <v>722.0550122800001</v>
      </c>
    </row>
    <row r="38" spans="2:10" ht="19.5" customHeight="1">
      <c r="B38" s="43">
        <v>4</v>
      </c>
      <c r="C38" s="44">
        <f>Indices!C8</f>
        <v>373</v>
      </c>
      <c r="D38" s="46">
        <f>ROUNDDOWN($E$7*C38/12/2,2)+ROUNDDOWN($E$7*C38/12/2,2)*0.03-ROUNDDOWN($E$7*C38/12/2,2)*Intro!$F$7-(ROUNDDOWN($E$7*C38/12/2,2)+ROUNDDOWN($E$7*C38/12/2,2)*0.03)*Intro!$F$17*Intro!$F$19-(ROUNDDOWN($E$7*C38/12/2,2)+ROUNDDOWN($E$7*C38/12/2,2)*0.03)*Intro!$F$17*Intro!$F$21-ROUND((($E$7*C38/12/2)*0.03)*0.05,2)</f>
        <v>735.8540126800001</v>
      </c>
      <c r="E38" s="44">
        <f t="shared" si="2"/>
        <v>373</v>
      </c>
      <c r="F38" s="46">
        <f>ROUNDDOWN($E$7*E38/12/2,2)+ROUNDDOWN($E$7*E38/12/2,2)*0.03-ROUNDDOWN($E$7*E38/12/2,2)*Intro!$F$7-(ROUNDDOWN($E$7*E38/12/2,2)+ROUNDDOWN($E$7*E38/12/2,2)*0.03+ROUNDDOWN($F$47,2))*Intro!$F$17*Intro!$F$19-(ROUNDDOWN($E$7*E38/12/2,2)+ROUNDDOWN($E$7*E38/12/2,2)*0.03+ROUNDDOWN($F$47,2))*Intro!$F$17*Intro!$F$21-ROUND((($E$7*E38/12/2)*0.03+$F$47)*0.05,2)</f>
        <v>711.05993268</v>
      </c>
      <c r="G38" s="46">
        <f t="shared" si="0"/>
        <v>903.8599326799999</v>
      </c>
      <c r="H38" s="44">
        <f t="shared" si="3"/>
        <v>373</v>
      </c>
      <c r="I38" s="46">
        <f>ROUNDDOWN($E$7*H38/12/2,2)+ROUNDDOWN($E$7*H38/12/2,2)*0.03-ROUNDDOWN($E$7*H38/12/2,2)*Intro!$F$7-(ROUNDDOWN($E$7*H38/12/2,2)+ROUNDDOWN($E$7*H38/12/2,2)*0.03+ROUNDDOWN($J$47,2))*Intro!$F$17*Intro!$F$19-(ROUNDDOWN($E$7*H38/12/2,2)+ROUNDDOWN($E$7*H38/12/2,2)*0.03+ROUNDDOWN($J$47,2))*Intro!$F$17*Intro!$F$21-ROUND((($E$7*H38/12/2)*0.03+$J$47)*0.05,2)</f>
        <v>735.8540126800001</v>
      </c>
      <c r="J38" s="46">
        <f t="shared" si="1"/>
        <v>735.8540126800001</v>
      </c>
    </row>
    <row r="39" spans="2:10" ht="19.5" customHeight="1">
      <c r="B39" s="43">
        <v>5</v>
      </c>
      <c r="C39" s="44">
        <f>Indices!C9</f>
        <v>383</v>
      </c>
      <c r="D39" s="46">
        <f>ROUNDDOWN($E$7*C39/12/2,2)+ROUNDDOWN($E$7*C39/12/2,2)*0.03-ROUNDDOWN($E$7*C39/12/2,2)*Intro!$F$7-(ROUNDDOWN($E$7*C39/12/2,2)+ROUNDDOWN($E$7*C39/12/2,2)*0.03)*Intro!$F$17*Intro!$F$19-(ROUNDDOWN($E$7*C39/12/2,2)+ROUNDDOWN($E$7*C39/12/2,2)*0.03)*Intro!$F$17*Intro!$F$21-ROUND((($E$7*C39/12/2)*0.03)*0.05,2)</f>
        <v>755.5943614</v>
      </c>
      <c r="E39" s="44">
        <f t="shared" si="2"/>
        <v>383</v>
      </c>
      <c r="F39" s="46">
        <f>ROUNDDOWN($E$7*E39/12/2,2)+ROUNDDOWN($E$7*E39/12/2,2)*0.03-ROUNDDOWN($E$7*E39/12/2,2)*Intro!$F$7-(ROUNDDOWN($E$7*E39/12/2,2)+ROUNDDOWN($E$7*E39/12/2,2)*0.03+ROUNDDOWN($F$47,2))*Intro!$F$17*Intro!$F$19-(ROUNDDOWN($E$7*E39/12/2,2)+ROUNDDOWN($E$7*E39/12/2,2)*0.03+ROUNDDOWN($F$47,2))*Intro!$F$17*Intro!$F$21-ROUND((($E$7*E39/12/2)*0.03+$F$47)*0.05,2)</f>
        <v>730.8002814</v>
      </c>
      <c r="G39" s="46">
        <f t="shared" si="0"/>
        <v>923.6002814000001</v>
      </c>
      <c r="H39" s="44">
        <f t="shared" si="3"/>
        <v>383</v>
      </c>
      <c r="I39" s="46">
        <f>ROUNDDOWN($E$7*H39/12/2,2)+ROUNDDOWN($E$7*H39/12/2,2)*0.03-ROUNDDOWN($E$7*H39/12/2,2)*Intro!$F$7-(ROUNDDOWN($E$7*H39/12/2,2)+ROUNDDOWN($E$7*H39/12/2,2)*0.03+ROUNDDOWN($J$47,2))*Intro!$F$17*Intro!$F$19-(ROUNDDOWN($E$7*H39/12/2,2)+ROUNDDOWN($E$7*H39/12/2,2)*0.03+ROUNDDOWN($J$47,2))*Intro!$F$17*Intro!$F$21-ROUND((($E$7*H39/12/2)*0.03+$J$47)*0.05,2)</f>
        <v>755.5943614</v>
      </c>
      <c r="J39" s="46">
        <f t="shared" si="1"/>
        <v>755.5943614</v>
      </c>
    </row>
    <row r="40" spans="2:10" ht="19.5" customHeight="1">
      <c r="B40" s="43">
        <v>6</v>
      </c>
      <c r="C40" s="44">
        <f>Indices!C10</f>
        <v>390</v>
      </c>
      <c r="D40" s="46">
        <f>ROUNDDOWN($E$7*C40/12/2,2)+ROUNDDOWN($E$7*C40/12/2,2)*0.03-ROUNDDOWN($E$7*C40/12/2,2)*Intro!$F$7-(ROUNDDOWN($E$7*C40/12/2,2)+ROUNDDOWN($E$7*C40/12/2,2)*0.03)*Intro!$F$17*Intro!$F$19-(ROUNDDOWN($E$7*C40/12/2,2)+ROUNDDOWN($E$7*C40/12/2,2)*0.03)*Intro!$F$17*Intro!$F$21-ROUND((($E$7*C40/12/2)*0.03)*0.05,2)</f>
        <v>769.4033618</v>
      </c>
      <c r="E40" s="44">
        <f t="shared" si="2"/>
        <v>390</v>
      </c>
      <c r="F40" s="46">
        <f>ROUNDDOWN($E$7*E40/12/2,2)+ROUNDDOWN($E$7*E40/12/2,2)*0.03-ROUNDDOWN($E$7*E40/12/2,2)*Intro!$F$7-(ROUNDDOWN($E$7*E40/12/2,2)+ROUNDDOWN($E$7*E40/12/2,2)*0.03+ROUNDDOWN($F$47,2))*Intro!$F$17*Intro!$F$19-(ROUNDDOWN($E$7*E40/12/2,2)+ROUNDDOWN($E$7*E40/12/2,2)*0.03+ROUNDDOWN($F$47,2))*Intro!$F$17*Intro!$F$21-ROUND((($E$7*E40/12/2)*0.03+$F$47)*0.05,2)</f>
        <v>744.6092818</v>
      </c>
      <c r="G40" s="46">
        <f t="shared" si="0"/>
        <v>937.4092817999999</v>
      </c>
      <c r="H40" s="44">
        <f t="shared" si="3"/>
        <v>390</v>
      </c>
      <c r="I40" s="46">
        <f>ROUNDDOWN($E$7*H40/12/2,2)+ROUNDDOWN($E$7*H40/12/2,2)*0.03-ROUNDDOWN($E$7*H40/12/2,2)*Intro!$F$7-(ROUNDDOWN($E$7*H40/12/2,2)+ROUNDDOWN($E$7*H40/12/2,2)*0.03+ROUNDDOWN($J$47,2))*Intro!$F$17*Intro!$F$19-(ROUNDDOWN($E$7*H40/12/2,2)+ROUNDDOWN($E$7*H40/12/2,2)*0.03+ROUNDDOWN($J$47,2))*Intro!$F$17*Intro!$F$21-ROUND((($E$7*H40/12/2)*0.03+$J$47)*0.05,2)</f>
        <v>769.4033618</v>
      </c>
      <c r="J40" s="46">
        <f t="shared" si="1"/>
        <v>769.4033618</v>
      </c>
    </row>
    <row r="41" spans="2:10" ht="19.5" customHeight="1">
      <c r="B41" s="43">
        <v>7</v>
      </c>
      <c r="C41" s="44">
        <f>Indices!C11</f>
        <v>399</v>
      </c>
      <c r="D41" s="46">
        <f>ROUNDDOWN($E$7*C41/12/2,2)+ROUNDDOWN($E$7*C41/12/2,2)*0.03-ROUNDDOWN($E$7*C41/12/2,2)*Intro!$F$7-(ROUNDDOWN($E$7*C41/12/2,2)+ROUNDDOWN($E$7*C41/12/2,2)*0.03)*Intro!$F$17*Intro!$F$19-(ROUNDDOWN($E$7*C41/12/2,2)+ROUNDDOWN($E$7*C41/12/2,2)*0.03)*Intro!$F$17*Intro!$F$21-ROUND((($E$7*C41/12/2)*0.03)*0.05,2)</f>
        <v>787.1532610800001</v>
      </c>
      <c r="E41" s="44">
        <f t="shared" si="2"/>
        <v>399</v>
      </c>
      <c r="F41" s="46">
        <f>ROUNDDOWN($E$7*E41/12/2,2)+ROUNDDOWN($E$7*E41/12/2,2)*0.03-ROUNDDOWN($E$7*E41/12/2,2)*Intro!$F$7-(ROUNDDOWN($E$7*E41/12/2,2)+ROUNDDOWN($E$7*E41/12/2,2)*0.03+ROUNDDOWN($F$47,2))*Intro!$F$17*Intro!$F$19-(ROUNDDOWN($E$7*E41/12/2,2)+ROUNDDOWN($E$7*E41/12/2,2)*0.03+ROUNDDOWN($F$47,2))*Intro!$F$17*Intro!$F$21-ROUND((($E$7*E41/12/2)*0.03+$F$47)*0.05,2)</f>
        <v>762.3591810800001</v>
      </c>
      <c r="G41" s="46">
        <f t="shared" si="0"/>
        <v>955.15918108</v>
      </c>
      <c r="H41" s="44">
        <f t="shared" si="3"/>
        <v>399</v>
      </c>
      <c r="I41" s="46">
        <f>ROUNDDOWN($E$7*H41/12/2,2)+ROUNDDOWN($E$7*H41/12/2,2)*0.03-ROUNDDOWN($E$7*H41/12/2,2)*Intro!$F$7-(ROUNDDOWN($E$7*H41/12/2,2)+ROUNDDOWN($E$7*H41/12/2,2)*0.03+ROUNDDOWN($J$47,2))*Intro!$F$17*Intro!$F$19-(ROUNDDOWN($E$7*H41/12/2,2)+ROUNDDOWN($E$7*H41/12/2,2)*0.03+ROUNDDOWN($J$47,2))*Intro!$F$17*Intro!$F$21-ROUND((($E$7*H41/12/2)*0.03+$J$47)*0.05,2)</f>
        <v>787.1532610800001</v>
      </c>
      <c r="J41" s="46">
        <f t="shared" si="1"/>
        <v>787.1532610800001</v>
      </c>
    </row>
    <row r="42" spans="2:10" ht="19.5" customHeight="1">
      <c r="B42" s="43">
        <v>8</v>
      </c>
      <c r="C42" s="44">
        <f>Indices!C12</f>
        <v>420</v>
      </c>
      <c r="D42" s="46">
        <f>ROUNDDOWN($E$7*C42/12/2,2)+ROUNDDOWN($E$7*C42/12/2,2)*0.03-ROUNDDOWN($E$7*C42/12/2,2)*Intro!$F$7-(ROUNDDOWN($E$7*C42/12/2,2)+ROUNDDOWN($E$7*C42/12/2,2)*0.03)*Intro!$F$17*Intro!$F$19-(ROUNDDOWN($E$7*C42/12/2,2)+ROUNDDOWN($E$7*C42/12/2,2)*0.03)*Intro!$F$17*Intro!$F$21-ROUND((($E$7*C42/12/2)*0.03)*0.05,2)</f>
        <v>828.5873351199999</v>
      </c>
      <c r="E42" s="44">
        <f t="shared" si="2"/>
        <v>420</v>
      </c>
      <c r="F42" s="46">
        <f>ROUNDDOWN($E$7*E42/12/2,2)+ROUNDDOWN($E$7*E42/12/2,2)*0.03-ROUNDDOWN($E$7*E42/12/2,2)*Intro!$F$7-(ROUNDDOWN($E$7*E42/12/2,2)+ROUNDDOWN($E$7*E42/12/2,2)*0.03+ROUNDDOWN($F$47,2))*Intro!$F$17*Intro!$F$19-(ROUNDDOWN($E$7*E42/12/2,2)+ROUNDDOWN($E$7*E42/12/2,2)*0.03+ROUNDDOWN($F$47,2))*Intro!$F$17*Intro!$F$21-ROUND((($E$7*E42/12/2)*0.03+$F$47)*0.05,2)</f>
        <v>803.7932551199999</v>
      </c>
      <c r="G42" s="46">
        <f t="shared" si="0"/>
        <v>996.5932551199999</v>
      </c>
      <c r="H42" s="44">
        <f t="shared" si="3"/>
        <v>420</v>
      </c>
      <c r="I42" s="46">
        <f>ROUNDDOWN($E$7*H42/12/2,2)+ROUNDDOWN($E$7*H42/12/2,2)*0.03-ROUNDDOWN($E$7*H42/12/2,2)*Intro!$F$7-(ROUNDDOWN($E$7*H42/12/2,2)+ROUNDDOWN($E$7*H42/12/2,2)*0.03+ROUNDDOWN($J$47,2))*Intro!$F$17*Intro!$F$19-(ROUNDDOWN($E$7*H42/12/2,2)+ROUNDDOWN($E$7*H42/12/2,2)*0.03+ROUNDDOWN($J$47,2))*Intro!$F$17*Intro!$F$21-ROUND((($E$7*H42/12/2)*0.03+$J$47)*0.05,2)</f>
        <v>828.5873351199999</v>
      </c>
      <c r="J42" s="46">
        <f t="shared" si="1"/>
        <v>828.5873351199999</v>
      </c>
    </row>
    <row r="43" spans="2:10" ht="19.5" customHeight="1">
      <c r="B43" s="43">
        <v>9</v>
      </c>
      <c r="C43" s="44">
        <f>Indices!C13</f>
        <v>441</v>
      </c>
      <c r="D43" s="46">
        <f>ROUNDDOWN($E$7*C43/12/2,2)+ROUNDDOWN($E$7*C43/12/2,2)*0.03-ROUNDDOWN($E$7*C43/12/2,2)*Intro!$F$7-(ROUNDDOWN($E$7*C43/12/2,2)+ROUNDDOWN($E$7*C43/12/2,2)*0.03)*Intro!$F$17*Intro!$F$19-(ROUNDDOWN($E$7*C43/12/2,2)+ROUNDDOWN($E$7*C43/12/2,2)*0.03)*Intro!$F$17*Intro!$F$21-ROUND((($E$7*C43/12/2)*0.03)*0.05,2)</f>
        <v>870.0128727400001</v>
      </c>
      <c r="E43" s="44">
        <f t="shared" si="2"/>
        <v>441</v>
      </c>
      <c r="F43" s="46">
        <f>ROUNDDOWN($E$7*E43/12/2,2)+ROUNDDOWN($E$7*E43/12/2,2)*0.03-ROUNDDOWN($E$7*E43/12/2,2)*Intro!$F$7-(ROUNDDOWN($E$7*E43/12/2,2)+ROUNDDOWN($E$7*E43/12/2,2)*0.03+ROUNDDOWN($F$47,2))*Intro!$F$17*Intro!$F$19-(ROUNDDOWN($E$7*E43/12/2,2)+ROUNDDOWN($E$7*E43/12/2,2)*0.03+ROUNDDOWN($F$47,2))*Intro!$F$17*Intro!$F$21-ROUND((($E$7*E43/12/2)*0.03+$F$47)*0.05,2)</f>
        <v>845.2187927400001</v>
      </c>
      <c r="G43" s="46">
        <f t="shared" si="0"/>
        <v>1038.0187927400002</v>
      </c>
      <c r="H43" s="44">
        <f t="shared" si="3"/>
        <v>441</v>
      </c>
      <c r="I43" s="46">
        <f>ROUNDDOWN($E$7*H43/12/2,2)+ROUNDDOWN($E$7*H43/12/2,2)*0.03-ROUNDDOWN($E$7*H43/12/2,2)*Intro!$F$7-(ROUNDDOWN($E$7*H43/12/2,2)+ROUNDDOWN($E$7*H43/12/2,2)*0.03+ROUNDDOWN($J$47,2))*Intro!$F$17*Intro!$F$19-(ROUNDDOWN($E$7*H43/12/2,2)+ROUNDDOWN($E$7*H43/12/2,2)*0.03+ROUNDDOWN($J$47,2))*Intro!$F$17*Intro!$F$21-ROUND((($E$7*H43/12/2)*0.03+$J$47)*0.05,2)</f>
        <v>870.0128727400001</v>
      </c>
      <c r="J43" s="46">
        <f t="shared" si="1"/>
        <v>870.0128727400001</v>
      </c>
    </row>
    <row r="44" spans="2:10" ht="19.5" customHeight="1">
      <c r="B44" s="43">
        <v>10</v>
      </c>
      <c r="C44" s="44">
        <f>Indices!C14</f>
        <v>469</v>
      </c>
      <c r="D44" s="46">
        <f>ROUNDDOWN($E$7*C44/12/2,2)+ROUNDDOWN($E$7*C44/12/2,2)*0.03-ROUNDDOWN($E$7*C44/12/2,2)*Intro!$F$7-(ROUNDDOWN($E$7*C44/12/2,2)+ROUNDDOWN($E$7*C44/12/2,2)*0.03)*Intro!$F$17*Intro!$F$19-(ROUNDDOWN($E$7*C44/12/2,2)+ROUNDDOWN($E$7*C44/12/2,2)*0.03)*Intro!$F$17*Intro!$F$21-ROUND((($E$7*C44/12/2)*0.03)*0.05,2)</f>
        <v>925.2544836</v>
      </c>
      <c r="E44" s="44">
        <f t="shared" si="2"/>
        <v>469</v>
      </c>
      <c r="F44" s="46">
        <f>ROUNDDOWN($E$7*E44/12/2,2)+ROUNDDOWN($E$7*E44/12/2,2)*0.03-ROUNDDOWN($E$7*E44/12/2,2)*Intro!$F$7-(ROUNDDOWN($E$7*E44/12/2,2)+ROUNDDOWN($E$7*E44/12/2,2)*0.03+ROUNDDOWN($F$47,2))*Intro!$F$17*Intro!$F$19-(ROUNDDOWN($E$7*E44/12/2,2)+ROUNDDOWN($E$7*E44/12/2,2)*0.03+ROUNDDOWN($F$47,2))*Intro!$F$17*Intro!$F$21-ROUND((($E$7*E44/12/2)*0.03+$F$47)*0.05,2)</f>
        <v>900.4604036000001</v>
      </c>
      <c r="G44" s="46">
        <f t="shared" si="0"/>
        <v>1093.2604036</v>
      </c>
      <c r="H44" s="44">
        <f t="shared" si="3"/>
        <v>469</v>
      </c>
      <c r="I44" s="46">
        <f>ROUNDDOWN($E$7*H44/12/2,2)+ROUNDDOWN($E$7*H44/12/2,2)*0.03-ROUNDDOWN($E$7*H44/12/2,2)*Intro!$F$7-(ROUNDDOWN($E$7*H44/12/2,2)+ROUNDDOWN($E$7*H44/12/2,2)*0.03+ROUNDDOWN($J$47,2))*Intro!$F$17*Intro!$F$19-(ROUNDDOWN($E$7*H44/12/2,2)+ROUNDDOWN($E$7*H44/12/2,2)*0.03+ROUNDDOWN($J$47,2))*Intro!$F$17*Intro!$F$21-ROUND((($E$7*H44/12/2)*0.03+$J$47)*0.05,2)</f>
        <v>925.2544836</v>
      </c>
      <c r="J44" s="46">
        <f t="shared" si="1"/>
        <v>925.2544836</v>
      </c>
    </row>
    <row r="45" spans="2:10" ht="19.5" customHeight="1" thickBot="1">
      <c r="B45" s="48">
        <v>11</v>
      </c>
      <c r="C45" s="49">
        <f>Indices!C15</f>
        <v>515</v>
      </c>
      <c r="D45" s="51">
        <f>ROUNDDOWN($E$7*C45/12/2,2)+ROUNDDOWN($E$7*C45/12/2,2)*0.03-ROUNDDOWN($E$7*C45/12/2,2)*Intro!$F$7-(ROUNDDOWN($E$7*C45/12/2,2)+ROUNDDOWN($E$7*C45/12/2,2)*0.03)*Intro!$F$17*Intro!$F$19-(ROUNDDOWN($E$7*C45/12/2,2)+ROUNDDOWN($E$7*C45/12/2,2)*0.03)*Intro!$F$17*Intro!$F$21-ROUND((($E$7*C45/12/2)*0.03)*0.05,2)</f>
        <v>1016.0073566</v>
      </c>
      <c r="E45" s="49">
        <f t="shared" si="2"/>
        <v>515</v>
      </c>
      <c r="F45" s="51">
        <f>ROUNDDOWN($E$7*E45/12/2,2)+ROUNDDOWN($E$7*E45/12/2,2)*0.03-ROUNDDOWN($E$7*E45/12/2,2)*Intro!$F$7-(ROUNDDOWN($E$7*E45/12/2,2)+ROUNDDOWN($E$7*E45/12/2,2)*0.03+ROUNDDOWN($F$47,2))*Intro!$F$17*Intro!$F$19-(ROUNDDOWN($E$7*E45/12/2,2)+ROUNDDOWN($E$7*E45/12/2,2)*0.03+ROUNDDOWN($F$47,2))*Intro!$F$17*Intro!$F$21-ROUND((($E$7*E45/12/2)*0.03+$F$47)*0.05,2)</f>
        <v>991.2132766000001</v>
      </c>
      <c r="G45" s="51">
        <f t="shared" si="0"/>
        <v>1184.0132766000002</v>
      </c>
      <c r="H45" s="49">
        <f t="shared" si="3"/>
        <v>515</v>
      </c>
      <c r="I45" s="51">
        <f>ROUNDDOWN($E$7*H45/12/2,2)+ROUNDDOWN($E$7*H45/12/2,2)*0.03-ROUNDDOWN($E$7*H45/12/2,2)*Intro!$F$7-(ROUNDDOWN($E$7*H45/12/2,2)+ROUNDDOWN($E$7*H45/12/2,2)*0.03+ROUNDDOWN($J$47,2))*Intro!$F$17*Intro!$F$19-(ROUNDDOWN($E$7*H45/12/2,2)+ROUNDDOWN($E$7*H45/12/2,2)*0.03+ROUNDDOWN($J$47,2))*Intro!$F$17*Intro!$F$21-ROUND((($E$7*H45/12/2)*0.03+$J$47)*0.05,2)</f>
        <v>1016.0073566</v>
      </c>
      <c r="J45" s="51">
        <f t="shared" si="1"/>
        <v>1016.0073566</v>
      </c>
    </row>
    <row r="46" spans="3:11" ht="15.75" thickBot="1" thickTop="1">
      <c r="C46" s="53"/>
      <c r="D46" s="53"/>
      <c r="E46" s="53"/>
      <c r="F46" s="176" t="s">
        <v>10</v>
      </c>
      <c r="G46" s="176"/>
      <c r="H46" s="176"/>
      <c r="I46" s="176"/>
      <c r="J46" s="176"/>
      <c r="K46" s="87"/>
    </row>
    <row r="47" spans="1:12" ht="16.5" thickBot="1" thickTop="1">
      <c r="A47" s="56"/>
      <c r="B47" s="56"/>
      <c r="C47" s="90" t="s">
        <v>9</v>
      </c>
      <c r="D47" s="92">
        <f>Intro!H4</f>
        <v>39447</v>
      </c>
      <c r="E47" s="56"/>
      <c r="F47" s="174">
        <f>Intro!C4</f>
        <v>192.8</v>
      </c>
      <c r="G47" s="175"/>
      <c r="H47" s="91"/>
      <c r="I47" s="174">
        <f>Intro!F4</f>
        <v>241</v>
      </c>
      <c r="J47" s="175"/>
      <c r="K47" s="56"/>
      <c r="L47" s="56"/>
    </row>
    <row r="48" ht="15" thickTop="1"/>
  </sheetData>
  <sheetProtection sheet="1"/>
  <mergeCells count="33">
    <mergeCell ref="B33:B34"/>
    <mergeCell ref="C33:C34"/>
    <mergeCell ref="H21:K22"/>
    <mergeCell ref="H25:K26"/>
    <mergeCell ref="B13:B14"/>
    <mergeCell ref="E19:E20"/>
    <mergeCell ref="C13:C14"/>
    <mergeCell ref="F19:F20"/>
    <mergeCell ref="D13:D14"/>
    <mergeCell ref="G19:G20"/>
    <mergeCell ref="H33:H34"/>
    <mergeCell ref="I33:J33"/>
    <mergeCell ref="C31:J31"/>
    <mergeCell ref="C32:D32"/>
    <mergeCell ref="E32:G32"/>
    <mergeCell ref="H32:J32"/>
    <mergeCell ref="I4:J4"/>
    <mergeCell ref="B2:C2"/>
    <mergeCell ref="E7:F7"/>
    <mergeCell ref="E8:F8"/>
    <mergeCell ref="E9:F9"/>
    <mergeCell ref="I5:J5"/>
    <mergeCell ref="G7:J9"/>
    <mergeCell ref="C15:F16"/>
    <mergeCell ref="E17:G18"/>
    <mergeCell ref="B4:H5"/>
    <mergeCell ref="F46:J46"/>
    <mergeCell ref="F47:G47"/>
    <mergeCell ref="I47:J47"/>
    <mergeCell ref="C12:D12"/>
    <mergeCell ref="D33:D34"/>
    <mergeCell ref="E33:E34"/>
    <mergeCell ref="F33:G33"/>
  </mergeCells>
  <conditionalFormatting sqref="B35:J45">
    <cfRule type="expression" priority="1" dxfId="0" stopIfTrue="1">
      <formula>(EVEN(ROW())=ROW())</formula>
    </cfRule>
  </conditionalFormatting>
  <conditionalFormatting sqref="E21:G27 B15:B25 C17:D25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 verticalCentered="1"/>
  <pageMargins left="0.3937007874015748" right="0.3937007874015748" top="0.3937007874015748" bottom="0.3937007874015748" header="0" footer="0"/>
  <pageSetup fitToHeight="1" fitToWidth="1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"/>
  <sheetViews>
    <sheetView showGridLines="0" showRowColHeaders="0" zoomScaleSheetLayoutView="100" zoomScalePageLayoutView="0" workbookViewId="0" topLeftCell="A1">
      <selection activeCell="B4" sqref="B4:H5"/>
    </sheetView>
  </sheetViews>
  <sheetFormatPr defaultColWidth="11.19921875" defaultRowHeight="15"/>
  <cols>
    <col min="1" max="1" width="2.59765625" style="22" customWidth="1"/>
    <col min="2" max="2" width="8.09765625" style="22" customWidth="1"/>
    <col min="3" max="3" width="8.59765625" style="22" customWidth="1"/>
    <col min="4" max="4" width="12.59765625" style="22" customWidth="1"/>
    <col min="5" max="5" width="8.59765625" style="22" customWidth="1"/>
    <col min="6" max="7" width="12.59765625" style="22" customWidth="1"/>
    <col min="8" max="8" width="8.59765625" style="22" customWidth="1"/>
    <col min="9" max="10" width="12.59765625" style="22" customWidth="1"/>
    <col min="11" max="11" width="8.5" style="22" customWidth="1"/>
    <col min="12" max="12" width="8.8984375" style="22" customWidth="1"/>
    <col min="13" max="14" width="11" style="22" customWidth="1"/>
    <col min="15" max="15" width="11.09765625" style="22" customWidth="1"/>
    <col min="16" max="16384" width="11" style="22" customWidth="1"/>
  </cols>
  <sheetData>
    <row r="2" spans="2:10" ht="24" customHeight="1">
      <c r="B2" s="201" t="s">
        <v>33</v>
      </c>
      <c r="C2" s="201"/>
      <c r="D2" s="74"/>
      <c r="E2" s="74"/>
      <c r="F2" s="74"/>
      <c r="G2" s="74"/>
      <c r="H2" s="74"/>
      <c r="I2" s="74"/>
      <c r="J2" s="74"/>
    </row>
    <row r="3" ht="10.5" customHeight="1" thickBot="1">
      <c r="B3" s="23"/>
    </row>
    <row r="4" spans="2:10" s="24" customFormat="1" ht="36" customHeight="1" thickTop="1">
      <c r="B4" s="205" t="s">
        <v>57</v>
      </c>
      <c r="C4" s="206"/>
      <c r="D4" s="206"/>
      <c r="E4" s="206"/>
      <c r="F4" s="206"/>
      <c r="G4" s="206"/>
      <c r="H4" s="206"/>
      <c r="I4" s="213" t="s">
        <v>55</v>
      </c>
      <c r="J4" s="214"/>
    </row>
    <row r="5" spans="2:10" s="24" customFormat="1" ht="36" customHeight="1" thickBot="1">
      <c r="B5" s="207"/>
      <c r="C5" s="208"/>
      <c r="D5" s="208"/>
      <c r="E5" s="208"/>
      <c r="F5" s="208"/>
      <c r="G5" s="208"/>
      <c r="H5" s="208"/>
      <c r="I5" s="215">
        <f>Intro!H2</f>
        <v>40543</v>
      </c>
      <c r="J5" s="216"/>
    </row>
    <row r="6" spans="2:8" s="26" customFormat="1" ht="9.75" customHeight="1" thickTop="1">
      <c r="B6" s="25"/>
      <c r="C6" s="25"/>
      <c r="D6" s="25"/>
      <c r="E6" s="25"/>
      <c r="F6" s="25"/>
      <c r="G6" s="25"/>
      <c r="H6" s="25"/>
    </row>
    <row r="7" spans="2:11" s="28" customFormat="1" ht="18" customHeight="1">
      <c r="B7" s="27"/>
      <c r="D7" s="29" t="s">
        <v>4</v>
      </c>
      <c r="E7" s="202">
        <f>Intro!F2</f>
        <v>55.5635</v>
      </c>
      <c r="F7" s="203"/>
      <c r="G7" s="209" t="s">
        <v>32</v>
      </c>
      <c r="H7" s="209"/>
      <c r="I7" s="209"/>
      <c r="J7" s="209"/>
      <c r="K7" s="75"/>
    </row>
    <row r="8" spans="2:10" s="28" customFormat="1" ht="18" customHeight="1">
      <c r="B8" s="27"/>
      <c r="D8" s="29" t="s">
        <v>2</v>
      </c>
      <c r="E8" s="204">
        <f>ROUNDDOWN(E7/12,2)</f>
        <v>4.63</v>
      </c>
      <c r="F8" s="204"/>
      <c r="G8" s="209"/>
      <c r="H8" s="209"/>
      <c r="I8" s="209"/>
      <c r="J8" s="209"/>
    </row>
    <row r="9" spans="2:11" s="28" customFormat="1" ht="18" customHeight="1">
      <c r="B9" s="27"/>
      <c r="D9" s="29" t="s">
        <v>3</v>
      </c>
      <c r="E9" s="204">
        <f>ROUNDDOWN($E$7/12,2)+ROUNDDOWN($E$7/12,2)*0.01-ROUNDDOWN($E$7/12,2)*Intro!$F$7-(ROUNDDOWN($E$7/12,2)+ROUNDDOWN($E$7/12,2)*0.01)*Intro!$F$17*Intro!$F$19-(ROUNDDOWN($E$7/12,2)+ROUNDDOWN($E$7/12,2)*0.01)*Intro!$F$17*Intro!$F$21-(ROUNDDOWN($E$7/12,2)+ROUNDDOWN($E$7/12,2)*0.01-ROUNDDOWN($E$7/12,2)*Intro!$F$7-ROUNDDOWN($E$7/12,2)*0.01*0.05)*0.01</f>
        <v>3.8247179899999995</v>
      </c>
      <c r="F9" s="204"/>
      <c r="G9" s="209"/>
      <c r="H9" s="209"/>
      <c r="I9" s="209"/>
      <c r="J9" s="209"/>
      <c r="K9" s="75"/>
    </row>
    <row r="10" spans="2:7" s="28" customFormat="1" ht="18" customHeight="1">
      <c r="B10" s="27"/>
      <c r="D10" s="77" t="s">
        <v>11</v>
      </c>
      <c r="E10" s="76"/>
      <c r="F10" s="76"/>
      <c r="G10" s="79"/>
    </row>
    <row r="11" spans="1:12" s="28" customFormat="1" ht="22.5" customHeight="1" thickBot="1">
      <c r="A11" s="56"/>
      <c r="B11" s="56"/>
      <c r="C11" s="57"/>
      <c r="D11" s="57"/>
      <c r="E11" s="58"/>
      <c r="F11" s="59"/>
      <c r="G11" s="59"/>
      <c r="H11" s="60"/>
      <c r="I11" s="61"/>
      <c r="J11" s="61"/>
      <c r="K11" s="61"/>
      <c r="L11" s="56"/>
    </row>
    <row r="12" spans="1:12" s="33" customFormat="1" ht="19.5" customHeight="1" thickBot="1" thickTop="1">
      <c r="A12" s="22"/>
      <c r="B12" s="22"/>
      <c r="C12" s="181" t="s">
        <v>17</v>
      </c>
      <c r="D12" s="182"/>
      <c r="E12" s="56"/>
      <c r="F12" s="22"/>
      <c r="G12" s="22"/>
      <c r="H12" s="56"/>
      <c r="I12" s="22"/>
      <c r="J12" s="22"/>
      <c r="K12" s="78"/>
      <c r="L12" s="78"/>
    </row>
    <row r="13" spans="1:12" s="33" customFormat="1" ht="19.5" customHeight="1" thickTop="1">
      <c r="A13" s="28"/>
      <c r="B13" s="217" t="s">
        <v>13</v>
      </c>
      <c r="C13" s="190" t="s">
        <v>14</v>
      </c>
      <c r="D13" s="188" t="s">
        <v>15</v>
      </c>
      <c r="E13" s="28"/>
      <c r="F13" s="28"/>
      <c r="G13" s="28"/>
      <c r="H13" s="28"/>
      <c r="I13" s="28"/>
      <c r="J13" s="79"/>
      <c r="K13" s="79"/>
      <c r="L13" s="79"/>
    </row>
    <row r="14" spans="1:12" s="34" customFormat="1" ht="19.5" customHeight="1" thickBot="1">
      <c r="A14" s="63"/>
      <c r="B14" s="218"/>
      <c r="C14" s="191"/>
      <c r="D14" s="189" t="s">
        <v>18</v>
      </c>
      <c r="E14" s="63"/>
      <c r="F14" s="63"/>
      <c r="G14" s="63"/>
      <c r="H14" s="63"/>
      <c r="I14" s="63"/>
      <c r="J14" s="63"/>
      <c r="K14" s="63"/>
      <c r="L14" s="63"/>
    </row>
    <row r="15" spans="1:12" s="34" customFormat="1" ht="15.75" thickTop="1">
      <c r="A15" s="63"/>
      <c r="B15" s="37">
        <v>1</v>
      </c>
      <c r="C15" s="183" t="s">
        <v>47</v>
      </c>
      <c r="D15" s="183"/>
      <c r="E15" s="183"/>
      <c r="F15" s="184"/>
      <c r="G15" s="63"/>
      <c r="H15" s="63"/>
      <c r="I15" s="63"/>
      <c r="J15" s="79"/>
      <c r="K15" s="79"/>
      <c r="L15" s="79"/>
    </row>
    <row r="16" spans="1:12" ht="19.5" customHeight="1" thickBot="1">
      <c r="A16" s="63"/>
      <c r="B16" s="43">
        <v>2</v>
      </c>
      <c r="C16" s="185"/>
      <c r="D16" s="185"/>
      <c r="E16" s="186"/>
      <c r="F16" s="187"/>
      <c r="G16" s="63"/>
      <c r="H16" s="63"/>
      <c r="I16" s="63"/>
      <c r="J16" s="63"/>
      <c r="K16" s="63"/>
      <c r="L16" s="63"/>
    </row>
    <row r="17" spans="1:12" ht="19.5" customHeight="1" thickTop="1">
      <c r="A17" s="28"/>
      <c r="B17" s="43">
        <v>3</v>
      </c>
      <c r="C17" s="44">
        <f>Indices!F7</f>
        <v>432</v>
      </c>
      <c r="D17" s="65">
        <f>ROUNDDOWN($E$7*C17/12/2,2)+ROUNDDOWN($E$7*C17/12/2,2)*0.01-ROUNDDOWN($E$7*C17/12/2,2)*Intro!$F$7-(ROUNDDOWN($E$7*C17/12/2,2)+ROUNDDOWN($E$7*C17/12/2,2)*0.01)*Intro!$F$17*Intro!$F$19-(ROUNDDOWN($E$7*C17/12/2,2)+ROUNDDOWN($E$7*C17/12/2,2)*0.01)*Intro!$F$17*Intro!$F$21-ROUND((($E$7*C17/12/2)*0.01)*0.05,2)</f>
        <v>834.8309299599999</v>
      </c>
      <c r="E17" s="195" t="s">
        <v>45</v>
      </c>
      <c r="F17" s="195"/>
      <c r="G17" s="196"/>
      <c r="H17" s="63"/>
      <c r="I17" s="63"/>
      <c r="J17" s="63"/>
      <c r="K17" s="79"/>
      <c r="L17" s="28"/>
    </row>
    <row r="18" spans="2:10" ht="19.5" customHeight="1" thickBot="1">
      <c r="B18" s="43">
        <v>4</v>
      </c>
      <c r="C18" s="44">
        <f>Indices!F8</f>
        <v>445</v>
      </c>
      <c r="D18" s="65">
        <f>ROUNDDOWN($E$7*C18/12/2,2)+ROUNDDOWN($E$7*C18/12/2,2)*0.01-ROUNDDOWN($E$7*C18/12/2,2)*Intro!$F$7-(ROUNDDOWN($E$7*C18/12/2,2)+ROUNDDOWN($E$7*C18/12/2,2)*0.01)*Intro!$F$17*Intro!$F$19-(ROUNDDOWN($E$7*C18/12/2,2)+ROUNDDOWN($E$7*C18/12/2,2)*0.01)*Intro!$F$17*Intro!$F$21-ROUND((($E$7*C18/12/2)*0.01)*0.05,2)</f>
        <v>859.94251922</v>
      </c>
      <c r="E18" s="197"/>
      <c r="F18" s="197"/>
      <c r="G18" s="198"/>
      <c r="H18" s="63"/>
      <c r="I18" s="63"/>
      <c r="J18" s="63"/>
    </row>
    <row r="19" spans="2:11" ht="19.5" customHeight="1" thickTop="1">
      <c r="B19" s="43">
        <v>5</v>
      </c>
      <c r="C19" s="44">
        <f>Indices!F9</f>
        <v>458</v>
      </c>
      <c r="D19" s="65">
        <f>ROUNDDOWN($E$7*C19/12/2,2)+ROUNDDOWN($E$7*C19/12/2,2)*0.01-ROUNDDOWN($E$7*C19/12/2,2)*Intro!$F$7-(ROUNDDOWN($E$7*C19/12/2,2)+ROUNDDOWN($E$7*C19/12/2,2)*0.01)*Intro!$F$17*Intro!$F$19-(ROUNDDOWN($E$7*C19/12/2,2)+ROUNDDOWN($E$7*C19/12/2,2)*0.01)*Intro!$F$17*Intro!$F$21-ROUND((($E$7*C19/12/2)*0.01)*0.05,2)</f>
        <v>885.07246062</v>
      </c>
      <c r="E19" s="178" t="s">
        <v>13</v>
      </c>
      <c r="F19" s="179" t="s">
        <v>14</v>
      </c>
      <c r="G19" s="188" t="s">
        <v>15</v>
      </c>
      <c r="H19" s="66" t="s">
        <v>16</v>
      </c>
      <c r="I19" s="84"/>
      <c r="J19" s="84"/>
      <c r="K19" s="84"/>
    </row>
    <row r="20" spans="2:11" ht="19.5" customHeight="1" thickBot="1">
      <c r="B20" s="43">
        <v>6</v>
      </c>
      <c r="C20" s="44">
        <f>Indices!F10</f>
        <v>467</v>
      </c>
      <c r="D20" s="65">
        <f>ROUNDDOWN($E$7*C20/12/2,2)+ROUNDDOWN($E$7*C20/12/2,2)*0.01-ROUNDDOWN($E$7*C20/12/2,2)*Intro!$F$7-(ROUNDDOWN($E$7*C20/12/2,2)+ROUNDDOWN($E$7*C20/12/2,2)*0.01)*Intro!$F$17*Intro!$F$19-(ROUNDDOWN($E$7*C20/12/2,2)+ROUNDDOWN($E$7*C20/12/2,2)*0.01)*Intro!$F$17*Intro!$F$21-ROUND((($E$7*C20/12/2)*0.01)*0.05,2)</f>
        <v>902.46832038</v>
      </c>
      <c r="E20" s="219"/>
      <c r="F20" s="180"/>
      <c r="G20" s="189" t="s">
        <v>18</v>
      </c>
      <c r="H20" s="85" t="str">
        <f>"Retraite "&amp;Intro!F7*100&amp;" % du traitement brut"</f>
        <v>Retraite 9,54 % du traitement brut</v>
      </c>
      <c r="I20" s="71"/>
      <c r="J20" s="71"/>
      <c r="K20" s="71"/>
    </row>
    <row r="21" spans="2:11" ht="19.5" customHeight="1" thickTop="1">
      <c r="B21" s="43">
        <v>7</v>
      </c>
      <c r="C21" s="44">
        <f>Indices!F11</f>
        <v>495</v>
      </c>
      <c r="D21" s="65">
        <f>ROUNDDOWN($E$7*C21/12/2,2)+ROUNDDOWN($E$7*C21/12/2,2)*0.01-ROUNDDOWN($E$7*C21/12/2,2)*Intro!$F$7-(ROUNDDOWN($E$7*C21/12/2,2)+ROUNDDOWN($E$7*C21/12/2,2)*0.01)*Intro!$F$17*Intro!$F$19-(ROUNDDOWN($E$7*C21/12/2,2)+ROUNDDOWN($E$7*C21/12/2,2)*0.01)*Intro!$F$17*Intro!$F$21-ROUND((($E$7*C21/12/2)*0.01)*0.05,2)</f>
        <v>956.57689186</v>
      </c>
      <c r="E21" s="67">
        <v>1</v>
      </c>
      <c r="F21" s="68">
        <f>Indices!I5</f>
        <v>495</v>
      </c>
      <c r="G21" s="64">
        <f>ROUNDDOWN($E$7*F21/12/2,2)+ROUNDDOWN($E$7*F21/12/2,2)*0.01-ROUNDDOWN($E$7*F21/12/2,2)*Intro!$F$7-(ROUNDDOWN($E$7*F21/12/2,2)+ROUNDDOWN($E$7*F21/12/2,2)*0.01)*Intro!$F$17*Intro!$F$19-(ROUNDDOWN($E$7*F21/12/2,2)+ROUNDDOWN($E$7*F21/12/2,2)*0.01)*Intro!$F$17*Intro!$F$21-ROUND((($E$7*F21/12/2)*0.01)*0.05,2)</f>
        <v>956.57689186</v>
      </c>
      <c r="H21" s="199" t="s">
        <v>44</v>
      </c>
      <c r="I21" s="200"/>
      <c r="J21" s="200"/>
      <c r="K21" s="200"/>
    </row>
    <row r="22" spans="2:11" ht="19.5" customHeight="1">
      <c r="B22" s="43">
        <v>8</v>
      </c>
      <c r="C22" s="44">
        <f>Indices!F12</f>
        <v>531</v>
      </c>
      <c r="D22" s="65">
        <f>ROUNDDOWN($E$7*C22/12/2,2)+ROUNDDOWN($E$7*C22/12/2,2)*0.01-ROUNDDOWN($E$7*C22/12/2,2)*Intro!$F$7-(ROUNDDOWN($E$7*C22/12/2,2)+ROUNDDOWN($E$7*C22/12/2,2)*0.01)*Intro!$F$17*Intro!$F$19-(ROUNDDOWN($E$7*C22/12/2,2)+ROUNDDOWN($E$7*C22/12/2,2)*0.01)*Intro!$F$17*Intro!$F$21-ROUND((($E$7*C22/12/2)*0.01)*0.05,2)</f>
        <v>1026.15197876</v>
      </c>
      <c r="E22" s="69">
        <v>2</v>
      </c>
      <c r="F22" s="70">
        <f>Indices!I6</f>
        <v>560</v>
      </c>
      <c r="G22" s="65">
        <f>ROUNDDOWN($E$7*F22/12/2,2)+ROUNDDOWN($E$7*F22/12/2,2)*0.01-ROUNDDOWN($E$7*F22/12/2,2)*Intro!$F$7-(ROUNDDOWN($E$7*F22/12/2,2)+ROUNDDOWN($E$7*F22/12/2,2)*0.01)*Intro!$F$17*Intro!$F$19-(ROUNDDOWN($E$7*F22/12/2,2)+ROUNDDOWN($E$7*F22/12/2,2)*0.01)*Intro!$F$17*Intro!$F$21-ROUND((($E$7*F22/12/2)*0.01)*0.05,2)</f>
        <v>1082.1882467199998</v>
      </c>
      <c r="H22" s="199"/>
      <c r="I22" s="200"/>
      <c r="J22" s="200"/>
      <c r="K22" s="200"/>
    </row>
    <row r="23" spans="2:11" ht="19.5" customHeight="1">
      <c r="B23" s="43">
        <v>9</v>
      </c>
      <c r="C23" s="44">
        <f>Indices!F13</f>
        <v>567</v>
      </c>
      <c r="D23" s="65">
        <f>ROUNDDOWN($E$7*C23/12/2,2)+ROUNDDOWN($E$7*C23/12/2,2)*0.01-ROUNDDOWN($E$7*C23/12/2,2)*Intro!$F$7-(ROUNDDOWN($E$7*C23/12/2,2)+ROUNDDOWN($E$7*C23/12/2,2)*0.01)*Intro!$F$17*Intro!$F$19-(ROUNDDOWN($E$7*C23/12/2,2)+ROUNDDOWN($E$7*C23/12/2,2)*0.01)*Intro!$F$17*Intro!$F$21-ROUND((($E$7*C23/12/2)*0.01)*0.05,2)</f>
        <v>1095.7087135200002</v>
      </c>
      <c r="E23" s="69">
        <v>3</v>
      </c>
      <c r="F23" s="70">
        <f>Indices!I7</f>
        <v>601</v>
      </c>
      <c r="G23" s="65">
        <f>ROUNDDOWN($E$7*F23/12/2,2)+ROUNDDOWN($E$7*F23/12/2,2)*0.01-ROUNDDOWN($E$7*F23/12/2,2)*Intro!$F$7-(ROUNDDOWN($E$7*F23/12/2,2)+ROUNDDOWN($E$7*F23/12/2,2)*0.01)*Intro!$F$17*Intro!$F$19-(ROUNDDOWN($E$7*F23/12/2,2)+ROUNDDOWN($E$7*F23/12/2,2)*0.01)*Intro!$F$17*Intro!$F$21-ROUND((($E$7*F23/12/2)*0.01)*0.05,2)</f>
        <v>1161.4167596000002</v>
      </c>
      <c r="H23" s="85" t="str">
        <f>"CRDS "&amp;Intro!F21*100&amp;"% (sur "&amp;Intro!F17*100&amp;"% de tous les revenus, dont IRL)"</f>
        <v>CRDS 0,5% (sur 98,25% de tous les revenus, dont IRL)</v>
      </c>
      <c r="I23" s="86"/>
      <c r="J23" s="86"/>
      <c r="K23" s="71"/>
    </row>
    <row r="24" spans="2:11" ht="19.5" customHeight="1">
      <c r="B24" s="43">
        <v>10</v>
      </c>
      <c r="C24" s="44">
        <f>Indices!F14</f>
        <v>612</v>
      </c>
      <c r="D24" s="65">
        <f>ROUNDDOWN($E$7*C24/12/2,2)+ROUNDDOWN($E$7*C24/12/2,2)*0.01-ROUNDDOWN($E$7*C24/12/2,2)*Intro!$F$7-(ROUNDDOWN($E$7*C24/12/2,2)+ROUNDDOWN($E$7*C24/12/2,2)*0.01)*Intro!$F$17*Intro!$F$19-(ROUNDDOWN($E$7*C24/12/2,2)+ROUNDDOWN($E$7*C24/12/2,2)*0.01)*Intro!$F$17*Intro!$F$21-ROUND((($E$7*C24/12/2)*0.01)*0.05,2)</f>
        <v>1182.67130804</v>
      </c>
      <c r="E24" s="69">
        <v>4</v>
      </c>
      <c r="F24" s="70">
        <f>Indices!I8</f>
        <v>642</v>
      </c>
      <c r="G24" s="65">
        <f>ROUNDDOWN($E$7*F24/12/2,2)+ROUNDDOWN($E$7*F24/12/2,2)*0.01-ROUNDDOWN($E$7*F24/12/2,2)*Intro!$F$7-(ROUNDDOWN($E$7*F24/12/2,2)+ROUNDDOWN($E$7*F24/12/2,2)*0.01)*Intro!$F$17*Intro!$F$19-(ROUNDDOWN($E$7*F24/12/2,2)+ROUNDDOWN($E$7*F24/12/2,2)*0.01)*Intro!$F$17*Intro!$F$21-ROUND((($E$7*F24/12/2)*0.01)*0.05,2)</f>
        <v>1240.65527248</v>
      </c>
      <c r="H24" s="85" t="str">
        <f>"CSG "&amp;Intro!F19*100&amp;"% (sur "&amp;Intro!F17*100&amp;"% de tous les revenus, dont IRL)"</f>
        <v>CSG 7,5% (sur 98,25% de tous les revenus, dont IRL)</v>
      </c>
      <c r="I24" s="71"/>
      <c r="J24" s="71"/>
      <c r="K24" s="71"/>
    </row>
    <row r="25" spans="2:11" ht="19.5" customHeight="1" thickBot="1">
      <c r="B25" s="48">
        <v>11</v>
      </c>
      <c r="C25" s="49">
        <f>Indices!F15</f>
        <v>658</v>
      </c>
      <c r="D25" s="72">
        <f>ROUNDDOWN($E$7*C25/12/2,2)+ROUNDDOWN($E$7*C25/12/2,2)*0.01-ROUNDDOWN($E$7*C25/12/2,2)*Intro!$F$7-(ROUNDDOWN($E$7*C25/12/2,2)+ROUNDDOWN($E$7*C25/12/2,2)*0.01)*Intro!$F$17*Intro!$F$19-(ROUNDDOWN($E$7*C25/12/2,2)+ROUNDDOWN($E$7*C25/12/2,2)*0.01)*Intro!$F$17*Intro!$F$21-ROUND((($E$7*C25/12/2)*0.01)*0.05,2)</f>
        <v>1271.57159904</v>
      </c>
      <c r="E25" s="69">
        <v>5</v>
      </c>
      <c r="F25" s="70">
        <f>Indices!I9</f>
        <v>695</v>
      </c>
      <c r="G25" s="93">
        <f>ROUNDDOWN($E$7*F25/12/2,2)+ROUNDDOWN($E$7*F25/12/2,2)*0.01-ROUNDDOWN($E$7*F25/12/2,2)*Intro!$F$7-(ROUNDDOWN($E$7*F25/12/2,2)+ROUNDDOWN($E$7*F25/12/2,2)*0.01)*Intro!$F$17*Intro!$F$19-(ROUNDDOWN($E$7*F25/12/2,2)+ROUNDDOWN($E$7*F25/12/2,2)*0.01)*Intro!$F$17*Intro!$F$21-ROUND((($E$7*F25/12/2)*0.01)*0.05,2)-(ROUNDDOWN($E$7*F25/12/2,2)+ROUNDDOWN($E$7*F25/12/2,2)*0.01-ROUNDDOWN($E$7*F25/12/2,2)*Intro!$F$7-ROUND($E$7*F25/12/2*0.03*0.05,2))*0.01</f>
        <v>1328.3840333599999</v>
      </c>
      <c r="H25" s="199" t="s">
        <v>41</v>
      </c>
      <c r="I25" s="200"/>
      <c r="J25" s="200"/>
      <c r="K25" s="200"/>
    </row>
    <row r="26" spans="5:11" ht="19.5" customHeight="1" thickTop="1">
      <c r="E26" s="43">
        <v>6</v>
      </c>
      <c r="F26" s="70">
        <f>Indices!I10</f>
        <v>741</v>
      </c>
      <c r="G26" s="93">
        <f>ROUNDDOWN($E$7*F26/12/2,2)+ROUNDDOWN($E$7*F26/12/2,2)*0.01-ROUNDDOWN($E$7*F26/12/2,2)*Intro!$F$7-(ROUNDDOWN($E$7*F26/12/2,2)+ROUNDDOWN($E$7*F26/12/2,2)*0.01)*Intro!$F$17*Intro!$F$19-(ROUNDDOWN($E$7*F26/12/2,2)+ROUNDDOWN($E$7*F26/12/2,2)*0.01)*Intro!$F$17*Intro!$F$21-ROUND((($E$7*F26/12/2)*0.01)*0.05,2)-(ROUNDDOWN($E$7*F26/12/2,2)+ROUNDDOWN($E$7*F26/12/2,2)*0.01-ROUNDDOWN($E$7*F26/12/2,2)*Intro!$F$7-ROUND($E$7*F26/12/2*0.03*0.05,2))*0.01</f>
        <v>1416.3018753600002</v>
      </c>
      <c r="H26" s="199"/>
      <c r="I26" s="200"/>
      <c r="J26" s="200"/>
      <c r="K26" s="200"/>
    </row>
    <row r="27" spans="3:9" ht="19.5" customHeight="1" thickBot="1">
      <c r="C27" s="28"/>
      <c r="D27" s="28"/>
      <c r="E27" s="48">
        <v>7</v>
      </c>
      <c r="F27" s="73">
        <f>Indices!I11</f>
        <v>783</v>
      </c>
      <c r="G27" s="94">
        <f>ROUNDDOWN($E$7*F27/12/2,2)+ROUNDDOWN($E$7*F27/12/2,2)*0.01-ROUNDDOWN($E$7*F27/12/2,2)*Intro!$F$7-(ROUNDDOWN($E$7*F27/12/2,2)+ROUNDDOWN($E$7*F27/12/2,2)*0.01)*Intro!$F$17*Intro!$F$19-(ROUNDDOWN($E$7*F27/12/2,2)+ROUNDDOWN($E$7*F27/12/2,2)*0.01)*Intro!$F$17*Intro!$F$21-ROUND((($E$7*F27/12/2)*0.01)*0.05,2)-(ROUNDDOWN($E$7*F27/12/2,2)+ROUNDDOWN($E$7*F27/12/2,2)*0.01-ROUNDDOWN($E$7*F27/12/2,2)*Intro!$F$7-ROUND($E$7*F27/12/2*0.03*0.05,2))*0.01</f>
        <v>1496.5719669999999</v>
      </c>
      <c r="I27" s="88"/>
    </row>
    <row r="28" spans="1:12" s="56" customFormat="1" ht="15" thickTop="1">
      <c r="A28" s="22"/>
      <c r="B28" s="22"/>
      <c r="C28" s="63"/>
      <c r="D28" s="63"/>
      <c r="E28" s="22"/>
      <c r="F28" s="22"/>
      <c r="G28" s="22"/>
      <c r="H28" s="22"/>
      <c r="I28" s="89"/>
      <c r="J28" s="22"/>
      <c r="K28" s="22"/>
      <c r="L28" s="22"/>
    </row>
    <row r="29" spans="1:13" s="56" customFormat="1" ht="39.75" customHeight="1">
      <c r="A29" s="22"/>
      <c r="B29" s="95" t="s">
        <v>31</v>
      </c>
      <c r="C29" s="63"/>
      <c r="D29" s="63"/>
      <c r="E29" s="63"/>
      <c r="F29" s="22"/>
      <c r="G29" s="22"/>
      <c r="H29" s="22"/>
      <c r="I29" s="22"/>
      <c r="J29" s="22"/>
      <c r="K29" s="22"/>
      <c r="L29" s="22"/>
      <c r="M29" s="22"/>
    </row>
    <row r="30" spans="2:13" ht="19.5" customHeight="1" thickBot="1">
      <c r="B30" s="28"/>
      <c r="C30" s="28"/>
      <c r="D30" s="28"/>
      <c r="E30" s="28"/>
      <c r="F30" s="28"/>
      <c r="G30" s="28"/>
      <c r="H30" s="28"/>
      <c r="I30" s="28"/>
      <c r="J30" s="77" t="s">
        <v>37</v>
      </c>
      <c r="K30" s="28"/>
      <c r="L30" s="28"/>
      <c r="M30" s="28"/>
    </row>
    <row r="31" spans="1:13" s="28" customFormat="1" ht="19.5" customHeight="1" thickBot="1" thickTop="1">
      <c r="A31" s="22"/>
      <c r="B31" s="32"/>
      <c r="C31" s="181" t="s">
        <v>12</v>
      </c>
      <c r="D31" s="212"/>
      <c r="E31" s="212"/>
      <c r="F31" s="212"/>
      <c r="G31" s="212"/>
      <c r="H31" s="212"/>
      <c r="I31" s="212"/>
      <c r="J31" s="182"/>
      <c r="K31" s="33"/>
      <c r="L31" s="33"/>
      <c r="M31" s="63"/>
    </row>
    <row r="32" spans="1:12" s="63" customFormat="1" ht="19.5" customHeight="1" thickBot="1" thickTop="1">
      <c r="A32" s="28"/>
      <c r="B32" s="32"/>
      <c r="C32" s="192" t="s">
        <v>26</v>
      </c>
      <c r="D32" s="193"/>
      <c r="E32" s="192" t="s">
        <v>0</v>
      </c>
      <c r="F32" s="193"/>
      <c r="G32" s="193"/>
      <c r="H32" s="192" t="s">
        <v>1</v>
      </c>
      <c r="I32" s="193"/>
      <c r="J32" s="194"/>
      <c r="K32" s="33"/>
      <c r="L32" s="33"/>
    </row>
    <row r="33" spans="1:12" s="63" customFormat="1" ht="19.5" customHeight="1" thickTop="1">
      <c r="A33" s="33"/>
      <c r="B33" s="217" t="s">
        <v>13</v>
      </c>
      <c r="C33" s="190" t="s">
        <v>14</v>
      </c>
      <c r="D33" s="188" t="s">
        <v>15</v>
      </c>
      <c r="E33" s="190" t="s">
        <v>14</v>
      </c>
      <c r="F33" s="177" t="s">
        <v>15</v>
      </c>
      <c r="G33" s="178"/>
      <c r="H33" s="190" t="s">
        <v>14</v>
      </c>
      <c r="I33" s="177" t="s">
        <v>15</v>
      </c>
      <c r="J33" s="178"/>
      <c r="K33" s="34"/>
      <c r="L33" s="34"/>
    </row>
    <row r="34" spans="1:13" s="63" customFormat="1" ht="19.5" customHeight="1" thickBot="1">
      <c r="A34" s="33"/>
      <c r="B34" s="218"/>
      <c r="C34" s="191"/>
      <c r="D34" s="189" t="s">
        <v>18</v>
      </c>
      <c r="E34" s="236"/>
      <c r="F34" s="35" t="s">
        <v>27</v>
      </c>
      <c r="G34" s="35" t="s">
        <v>28</v>
      </c>
      <c r="H34" s="236"/>
      <c r="I34" s="35" t="s">
        <v>27</v>
      </c>
      <c r="J34" s="35" t="s">
        <v>28</v>
      </c>
      <c r="K34" s="34"/>
      <c r="L34" s="34"/>
      <c r="M34" s="28"/>
    </row>
    <row r="35" spans="1:13" s="28" customFormat="1" ht="19.5" customHeight="1" thickTop="1">
      <c r="A35" s="34"/>
      <c r="B35" s="37">
        <v>1</v>
      </c>
      <c r="C35" s="38">
        <f>Indices!C5</f>
        <v>341</v>
      </c>
      <c r="D35" s="41">
        <f>ROUNDDOWN($E$7*C35/12/2,2)+ROUNDDOWN($E$7*C35/12/2,2)*0.01-ROUNDDOWN($E$7*C35/12/2,2)*Intro!$F$7-(ROUNDDOWN($E$7*C35/12/2,2)+ROUNDDOWN($E$7*C35/12/2,2)*0.01)*Intro!$F$17*Intro!$F$19-(ROUNDDOWN($E$7*C35/12/2,2)+ROUNDDOWN($E$7*C35/12/2,2)*0.01)*Intro!$F$17*Intro!$F$21-ROUND((($E$7*C35/12/2)*0.01)*0.05,2)</f>
        <v>658.97804444</v>
      </c>
      <c r="E35" s="40">
        <f>C35</f>
        <v>341</v>
      </c>
      <c r="F35" s="41">
        <f>ROUNDDOWN($E$7*E35/12/2,2)+ROUNDDOWN($E$7*E35/12/2,2)*0.01-ROUNDDOWN($E$7*E35/12/2,2)*Intro!$F$7-(ROUNDDOWN($E$7*E35/12/2,2)+ROUNDDOWN($E$7*E35/12/2,2)*0.01+ROUNDDOWN($F$47,2))*Intro!$F$17*Intro!$F$19-(ROUNDDOWN($E$7*E35/12/2,2)+ROUNDDOWN($E$7*E35/12/2,2)*0.01+ROUNDDOWN($F$47,2))*Intro!$F$17*Intro!$F$21-ROUND((($E$7*E35/12/2)*0.01+$F$47)*0.05,2)</f>
        <v>634.18396444</v>
      </c>
      <c r="G35" s="41">
        <f aca="true" t="shared" si="0" ref="G35:G45">F35+$F$47</f>
        <v>826.9839644399999</v>
      </c>
      <c r="H35" s="40">
        <f>C35</f>
        <v>341</v>
      </c>
      <c r="I35" s="41">
        <f>ROUNDDOWN($E$7*H35/12/2,2)+ROUNDDOWN($E$7*H35/12/2,2)*0.01-ROUNDDOWN($E$7*H35/12/2,2)*Intro!$F$7-(ROUNDDOWN($E$7*H35/12/2,2)+ROUNDDOWN($E$7*H35/12/2,2)*0.01+ROUNDDOWN($I$47,2))*Intro!$F$17*Intro!$F$19-(ROUNDDOWN($E$7*H35/12/2,2)+ROUNDDOWN($E$7*H35/12/2,2)*0.01+ROUNDDOWN($I$47,2))*Intro!$F$17*Intro!$F$21-ROUND((($E$7*H35/12/2)*0.01+$I$47)*0.05,2)</f>
        <v>627.9854444399999</v>
      </c>
      <c r="J35" s="41">
        <f aca="true" t="shared" si="1" ref="J35:J45">I35+$I$47</f>
        <v>868.9854444399999</v>
      </c>
      <c r="K35" s="22"/>
      <c r="L35" s="22"/>
      <c r="M35" s="22"/>
    </row>
    <row r="36" spans="1:10" ht="19.5" customHeight="1">
      <c r="A36" s="34"/>
      <c r="B36" s="43">
        <v>2</v>
      </c>
      <c r="C36" s="44">
        <f>Indices!C6</f>
        <v>357</v>
      </c>
      <c r="D36" s="46">
        <f>ROUNDDOWN($E$7*C36/12/2,2)+ROUNDDOWN($E$7*C36/12/2,2)*0.01-ROUNDDOWN($E$7*C36/12/2,2)*Intro!$F$7-(ROUNDDOWN($E$7*C36/12/2,2)+ROUNDDOWN($E$7*C36/12/2,2)*0.01)*Intro!$F$17*Intro!$F$19-(ROUNDDOWN($E$7*C36/12/2,2)+ROUNDDOWN($E$7*C36/12/2,2)*0.01)*Intro!$F$17*Intro!$F$21-ROUND((($E$7*C36/12/2)*0.01)*0.05,2)</f>
        <v>689.894371</v>
      </c>
      <c r="E36" s="44">
        <f aca="true" t="shared" si="2" ref="E36:E45">C36</f>
        <v>357</v>
      </c>
      <c r="F36" s="46">
        <f>ROUNDDOWN($E$7*E36/12/2,2)+ROUNDDOWN($E$7*E36/12/2,2)*0.01-ROUNDDOWN($E$7*E36/12/2,2)*Intro!$F$7-(ROUNDDOWN($E$7*E36/12/2,2)+ROUNDDOWN($E$7*E36/12/2,2)*0.01+ROUNDDOWN($F$47,2))*Intro!$F$17*Intro!$F$19-(ROUNDDOWN($E$7*E36/12/2,2)+ROUNDDOWN($E$7*E36/12/2,2)*0.01+ROUNDDOWN($F$47,2))*Intro!$F$17*Intro!$F$21-ROUND((($E$7*E36/12/2)*0.01+$F$47)*0.05,2)</f>
        <v>665.100291</v>
      </c>
      <c r="G36" s="46">
        <f t="shared" si="0"/>
        <v>857.9002909999999</v>
      </c>
      <c r="H36" s="44">
        <f aca="true" t="shared" si="3" ref="H36:H45">C36</f>
        <v>357</v>
      </c>
      <c r="I36" s="46">
        <f>ROUNDDOWN($E$7*H36/12/2,2)+ROUNDDOWN($E$7*H36/12/2,2)*0.01-ROUNDDOWN($E$7*H36/12/2,2)*Intro!$F$7-(ROUNDDOWN($E$7*H36/12/2,2)+ROUNDDOWN($E$7*H36/12/2,2)*0.01+ROUNDDOWN($I$47,2))*Intro!$F$17*Intro!$F$19-(ROUNDDOWN($E$7*H36/12/2,2)+ROUNDDOWN($E$7*H36/12/2,2)*0.01+ROUNDDOWN($I$47,2))*Intro!$F$17*Intro!$F$21-ROUND((($E$7*H36/12/2)*0.01+$I$47)*0.05,2)</f>
        <v>658.9017709999999</v>
      </c>
      <c r="J36" s="46">
        <f t="shared" si="1"/>
        <v>899.9017709999999</v>
      </c>
    </row>
    <row r="37" spans="2:10" ht="19.5" customHeight="1">
      <c r="B37" s="43">
        <v>3</v>
      </c>
      <c r="C37" s="44">
        <f>Indices!C7</f>
        <v>366</v>
      </c>
      <c r="D37" s="46">
        <f>ROUNDDOWN($E$7*C37/12/2,2)+ROUNDDOWN($E$7*C37/12/2,2)*0.01-ROUNDDOWN($E$7*C37/12/2,2)*Intro!$F$7-(ROUNDDOWN($E$7*C37/12/2,2)+ROUNDDOWN($E$7*C37/12/2,2)*0.01)*Intro!$F$17*Intro!$F$19-(ROUNDDOWN($E$7*C37/12/2,2)+ROUNDDOWN($E$7*C37/12/2,2)*0.01)*Intro!$F$17*Intro!$F$21-ROUND((($E$7*C37/12/2)*0.01)*0.05,2)</f>
        <v>707.2902307600001</v>
      </c>
      <c r="E37" s="44">
        <f t="shared" si="2"/>
        <v>366</v>
      </c>
      <c r="F37" s="46">
        <f>ROUNDDOWN($E$7*E37/12/2,2)+ROUNDDOWN($E$7*E37/12/2,2)*0.01-ROUNDDOWN($E$7*E37/12/2,2)*Intro!$F$7-(ROUNDDOWN($E$7*E37/12/2,2)+ROUNDDOWN($E$7*E37/12/2,2)*0.01+ROUNDDOWN($F$47,2))*Intro!$F$17*Intro!$F$19-(ROUNDDOWN($E$7*E37/12/2,2)+ROUNDDOWN($E$7*E37/12/2,2)*0.01+ROUNDDOWN($F$47,2))*Intro!$F$17*Intro!$F$21-ROUND((($E$7*E37/12/2)*0.01+$F$47)*0.05,2)</f>
        <v>682.4961507600001</v>
      </c>
      <c r="G37" s="46">
        <f t="shared" si="0"/>
        <v>875.29615076</v>
      </c>
      <c r="H37" s="44">
        <f t="shared" si="3"/>
        <v>366</v>
      </c>
      <c r="I37" s="46">
        <f>ROUNDDOWN($E$7*H37/12/2,2)+ROUNDDOWN($E$7*H37/12/2,2)*0.01-ROUNDDOWN($E$7*H37/12/2,2)*Intro!$F$7-(ROUNDDOWN($E$7*H37/12/2,2)+ROUNDDOWN($E$7*H37/12/2,2)*0.01+ROUNDDOWN($I$47,2))*Intro!$F$17*Intro!$F$19-(ROUNDDOWN($E$7*H37/12/2,2)+ROUNDDOWN($E$7*H37/12/2,2)*0.01+ROUNDDOWN($I$47,2))*Intro!$F$17*Intro!$F$21-ROUND((($E$7*H37/12/2)*0.01+$I$47)*0.05,2)</f>
        <v>676.29763076</v>
      </c>
      <c r="J37" s="46">
        <f t="shared" si="1"/>
        <v>917.29763076</v>
      </c>
    </row>
    <row r="38" spans="2:10" ht="19.5" customHeight="1">
      <c r="B38" s="43">
        <v>4</v>
      </c>
      <c r="C38" s="44">
        <f>Indices!C8</f>
        <v>373</v>
      </c>
      <c r="D38" s="46">
        <f>ROUNDDOWN($E$7*C38/12/2,2)+ROUNDDOWN($E$7*C38/12/2,2)*0.01-ROUNDDOWN($E$7*C38/12/2,2)*Intro!$F$7-(ROUNDDOWN($E$7*C38/12/2,2)+ROUNDDOWN($E$7*C38/12/2,2)*0.01)*Intro!$F$17*Intro!$F$19-(ROUNDDOWN($E$7*C38/12/2,2)+ROUNDDOWN($E$7*C38/12/2,2)*0.01)*Intro!$F$17*Intro!$F$21-ROUND((($E$7*C38/12/2)*0.01)*0.05,2)</f>
        <v>720.8106975600001</v>
      </c>
      <c r="E38" s="44">
        <f t="shared" si="2"/>
        <v>373</v>
      </c>
      <c r="F38" s="46">
        <f>ROUNDDOWN($E$7*E38/12/2,2)+ROUNDDOWN($E$7*E38/12/2,2)*0.01-ROUNDDOWN($E$7*E38/12/2,2)*Intro!$F$7-(ROUNDDOWN($E$7*E38/12/2,2)+ROUNDDOWN($E$7*E38/12/2,2)*0.01+ROUNDDOWN($F$47,2))*Intro!$F$17*Intro!$F$19-(ROUNDDOWN($E$7*E38/12/2,2)+ROUNDDOWN($E$7*E38/12/2,2)*0.01+ROUNDDOWN($F$47,2))*Intro!$F$17*Intro!$F$21-ROUND((($E$7*E38/12/2)*0.01+$F$47)*0.05,2)</f>
        <v>696.01661756</v>
      </c>
      <c r="G38" s="46">
        <f t="shared" si="0"/>
        <v>888.8166175599999</v>
      </c>
      <c r="H38" s="44">
        <f t="shared" si="3"/>
        <v>373</v>
      </c>
      <c r="I38" s="46">
        <f>ROUNDDOWN($E$7*H38/12/2,2)+ROUNDDOWN($E$7*H38/12/2,2)*0.01-ROUNDDOWN($E$7*H38/12/2,2)*Intro!$F$7-(ROUNDDOWN($E$7*H38/12/2,2)+ROUNDDOWN($E$7*H38/12/2,2)*0.01+ROUNDDOWN($I$47,2))*Intro!$F$17*Intro!$F$19-(ROUNDDOWN($E$7*H38/12/2,2)+ROUNDDOWN($E$7*H38/12/2,2)*0.01+ROUNDDOWN($I$47,2))*Intro!$F$17*Intro!$F$21-ROUND((($E$7*H38/12/2)*0.01+$I$47)*0.05,2)</f>
        <v>689.81809756</v>
      </c>
      <c r="J38" s="46">
        <f t="shared" si="1"/>
        <v>930.81809756</v>
      </c>
    </row>
    <row r="39" spans="2:10" ht="19.5" customHeight="1">
      <c r="B39" s="43">
        <v>5</v>
      </c>
      <c r="C39" s="44">
        <f>Indices!C9</f>
        <v>383</v>
      </c>
      <c r="D39" s="46">
        <f>ROUNDDOWN($E$7*C39/12/2,2)+ROUNDDOWN($E$7*C39/12/2,2)*0.01-ROUNDDOWN($E$7*C39/12/2,2)*Intro!$F$7-(ROUNDDOWN($E$7*C39/12/2,2)+ROUNDDOWN($E$7*C39/12/2,2)*0.01)*Intro!$F$17*Intro!$F$19-(ROUNDDOWN($E$7*C39/12/2,2)+ROUNDDOWN($E$7*C39/12/2,2)*0.01)*Intro!$F$17*Intro!$F$21-ROUND((($E$7*C39/12/2)*0.01)*0.05,2)</f>
        <v>740.1442537999999</v>
      </c>
      <c r="E39" s="44">
        <f t="shared" si="2"/>
        <v>383</v>
      </c>
      <c r="F39" s="46">
        <f>ROUNDDOWN($E$7*E39/12/2,2)+ROUNDDOWN($E$7*E39/12/2,2)*0.01-ROUNDDOWN($E$7*E39/12/2,2)*Intro!$F$7-(ROUNDDOWN($E$7*E39/12/2,2)+ROUNDDOWN($E$7*E39/12/2,2)*0.01+ROUNDDOWN($F$47,2))*Intro!$F$17*Intro!$F$19-(ROUNDDOWN($E$7*E39/12/2,2)+ROUNDDOWN($E$7*E39/12/2,2)*0.01+ROUNDDOWN($F$47,2))*Intro!$F$17*Intro!$F$21-ROUND((($E$7*E39/12/2)*0.01+$F$47)*0.05,2)</f>
        <v>715.3501738</v>
      </c>
      <c r="G39" s="46">
        <f t="shared" si="0"/>
        <v>908.1501738</v>
      </c>
      <c r="H39" s="44">
        <f t="shared" si="3"/>
        <v>383</v>
      </c>
      <c r="I39" s="46">
        <f>ROUNDDOWN($E$7*H39/12/2,2)+ROUNDDOWN($E$7*H39/12/2,2)*0.01-ROUNDDOWN($E$7*H39/12/2,2)*Intro!$F$7-(ROUNDDOWN($E$7*H39/12/2,2)+ROUNDDOWN($E$7*H39/12/2,2)*0.01+ROUNDDOWN($I$47,2))*Intro!$F$17*Intro!$F$19-(ROUNDDOWN($E$7*H39/12/2,2)+ROUNDDOWN($E$7*H39/12/2,2)*0.01+ROUNDDOWN($I$47,2))*Intro!$F$17*Intro!$F$21-ROUND((($E$7*H39/12/2)*0.01+$I$47)*0.05,2)</f>
        <v>709.1516538</v>
      </c>
      <c r="J39" s="46">
        <f t="shared" si="1"/>
        <v>950.1516538</v>
      </c>
    </row>
    <row r="40" spans="2:10" ht="19.5" customHeight="1">
      <c r="B40" s="43">
        <v>6</v>
      </c>
      <c r="C40" s="44">
        <f>Indices!C10</f>
        <v>390</v>
      </c>
      <c r="D40" s="46">
        <f>ROUNDDOWN($E$7*C40/12/2,2)+ROUNDDOWN($E$7*C40/12/2,2)*0.01-ROUNDDOWN($E$7*C40/12/2,2)*Intro!$F$7-(ROUNDDOWN($E$7*C40/12/2,2)+ROUNDDOWN($E$7*C40/12/2,2)*0.01)*Intro!$F$17*Intro!$F$19-(ROUNDDOWN($E$7*C40/12/2,2)+ROUNDDOWN($E$7*C40/12/2,2)*0.01)*Intro!$F$17*Intro!$F$21-ROUND((($E$7*C40/12/2)*0.01)*0.05,2)</f>
        <v>753.6647205999999</v>
      </c>
      <c r="E40" s="44">
        <f t="shared" si="2"/>
        <v>390</v>
      </c>
      <c r="F40" s="46">
        <f>ROUNDDOWN($E$7*E40/12/2,2)+ROUNDDOWN($E$7*E40/12/2,2)*0.01-ROUNDDOWN($E$7*E40/12/2,2)*Intro!$F$7-(ROUNDDOWN($E$7*E40/12/2,2)+ROUNDDOWN($E$7*E40/12/2,2)*0.01+ROUNDDOWN($F$47,2))*Intro!$F$17*Intro!$F$19-(ROUNDDOWN($E$7*E40/12/2,2)+ROUNDDOWN($E$7*E40/12/2,2)*0.01+ROUNDDOWN($F$47,2))*Intro!$F$17*Intro!$F$21-ROUND((($E$7*E40/12/2)*0.01+$F$47)*0.05,2)</f>
        <v>728.8706405999999</v>
      </c>
      <c r="G40" s="46">
        <f t="shared" si="0"/>
        <v>921.6706405999998</v>
      </c>
      <c r="H40" s="44">
        <f t="shared" si="3"/>
        <v>390</v>
      </c>
      <c r="I40" s="46">
        <f>ROUNDDOWN($E$7*H40/12/2,2)+ROUNDDOWN($E$7*H40/12/2,2)*0.01-ROUNDDOWN($E$7*H40/12/2,2)*Intro!$F$7-(ROUNDDOWN($E$7*H40/12/2,2)+ROUNDDOWN($E$7*H40/12/2,2)*0.01+ROUNDDOWN($I$47,2))*Intro!$F$17*Intro!$F$19-(ROUNDDOWN($E$7*H40/12/2,2)+ROUNDDOWN($E$7*H40/12/2,2)*0.01+ROUNDDOWN($I$47,2))*Intro!$F$17*Intro!$F$21-ROUND((($E$7*H40/12/2)*0.01+$I$47)*0.05,2)</f>
        <v>722.6721206</v>
      </c>
      <c r="J40" s="46">
        <f t="shared" si="1"/>
        <v>963.6721206</v>
      </c>
    </row>
    <row r="41" spans="2:10" ht="19.5" customHeight="1">
      <c r="B41" s="43">
        <v>7</v>
      </c>
      <c r="C41" s="44">
        <f>Indices!C11</f>
        <v>399</v>
      </c>
      <c r="D41" s="46">
        <f>ROUNDDOWN($E$7*C41/12/2,2)+ROUNDDOWN($E$7*C41/12/2,2)*0.01-ROUNDDOWN($E$7*C41/12/2,2)*Intro!$F$7-(ROUNDDOWN($E$7*C41/12/2,2)+ROUNDDOWN($E$7*C41/12/2,2)*0.01)*Intro!$F$17*Intro!$F$19-(ROUNDDOWN($E$7*C41/12/2,2)+ROUNDDOWN($E$7*C41/12/2,2)*0.01)*Intro!$F$17*Intro!$F$21-ROUND((($E$7*C41/12/2)*0.01)*0.05,2)</f>
        <v>771.0605803599999</v>
      </c>
      <c r="E41" s="44">
        <f t="shared" si="2"/>
        <v>399</v>
      </c>
      <c r="F41" s="46">
        <f>ROUNDDOWN($E$7*E41/12/2,2)+ROUNDDOWN($E$7*E41/12/2,2)*0.01-ROUNDDOWN($E$7*E41/12/2,2)*Intro!$F$7-(ROUNDDOWN($E$7*E41/12/2,2)+ROUNDDOWN($E$7*E41/12/2,2)*0.01+ROUNDDOWN($F$47,2))*Intro!$F$17*Intro!$F$19-(ROUNDDOWN($E$7*E41/12/2,2)+ROUNDDOWN($E$7*E41/12/2,2)*0.01+ROUNDDOWN($F$47,2))*Intro!$F$17*Intro!$F$21-ROUND((($E$7*E41/12/2)*0.01+$F$47)*0.05,2)</f>
        <v>746.2665003599999</v>
      </c>
      <c r="G41" s="46">
        <f t="shared" si="0"/>
        <v>939.06650036</v>
      </c>
      <c r="H41" s="44">
        <f t="shared" si="3"/>
        <v>399</v>
      </c>
      <c r="I41" s="46">
        <f>ROUNDDOWN($E$7*H41/12/2,2)+ROUNDDOWN($E$7*H41/12/2,2)*0.01-ROUNDDOWN($E$7*H41/12/2,2)*Intro!$F$7-(ROUNDDOWN($E$7*H41/12/2,2)+ROUNDDOWN($E$7*H41/12/2,2)*0.01+ROUNDDOWN($I$47,2))*Intro!$F$17*Intro!$F$19-(ROUNDDOWN($E$7*H41/12/2,2)+ROUNDDOWN($E$7*H41/12/2,2)*0.01+ROUNDDOWN($I$47,2))*Intro!$F$17*Intro!$F$21-ROUND((($E$7*H41/12/2)*0.01+$I$47)*0.05,2)</f>
        <v>740.06798036</v>
      </c>
      <c r="J41" s="46">
        <f t="shared" si="1"/>
        <v>981.06798036</v>
      </c>
    </row>
    <row r="42" spans="2:10" ht="19.5" customHeight="1">
      <c r="B42" s="43">
        <v>8</v>
      </c>
      <c r="C42" s="44">
        <f>Indices!C12</f>
        <v>420</v>
      </c>
      <c r="D42" s="46">
        <f>ROUNDDOWN($E$7*C42/12/2,2)+ROUNDDOWN($E$7*C42/12/2,2)*0.01-ROUNDDOWN($E$7*C42/12/2,2)*Intro!$F$7-(ROUNDDOWN($E$7*C42/12/2,2)+ROUNDDOWN($E$7*C42/12/2,2)*0.01)*Intro!$F$17*Intro!$F$19-(ROUNDDOWN($E$7*C42/12/2,2)+ROUNDDOWN($E$7*C42/12/2,2)*0.01)*Intro!$F$17*Intro!$F$21-ROUND((($E$7*C42/12/2)*0.01)*0.05,2)</f>
        <v>811.63868504</v>
      </c>
      <c r="E42" s="44">
        <f t="shared" si="2"/>
        <v>420</v>
      </c>
      <c r="F42" s="46">
        <f>ROUNDDOWN($E$7*E42/12/2,2)+ROUNDDOWN($E$7*E42/12/2,2)*0.01-ROUNDDOWN($E$7*E42/12/2,2)*Intro!$F$7-(ROUNDDOWN($E$7*E42/12/2,2)+ROUNDDOWN($E$7*E42/12/2,2)*0.01+ROUNDDOWN($F$47,2))*Intro!$F$17*Intro!$F$19-(ROUNDDOWN($E$7*E42/12/2,2)+ROUNDDOWN($E$7*E42/12/2,2)*0.01+ROUNDDOWN($F$47,2))*Intro!$F$17*Intro!$F$21-ROUND((($E$7*E42/12/2)*0.01+$F$47)*0.05,2)</f>
        <v>786.84460504</v>
      </c>
      <c r="G42" s="46">
        <f t="shared" si="0"/>
        <v>979.64460504</v>
      </c>
      <c r="H42" s="44">
        <f t="shared" si="3"/>
        <v>420</v>
      </c>
      <c r="I42" s="46">
        <f>ROUNDDOWN($E$7*H42/12/2,2)+ROUNDDOWN($E$7*H42/12/2,2)*0.01-ROUNDDOWN($E$7*H42/12/2,2)*Intro!$F$7-(ROUNDDOWN($E$7*H42/12/2,2)+ROUNDDOWN($E$7*H42/12/2,2)*0.01+ROUNDDOWN($I$47,2))*Intro!$F$17*Intro!$F$19-(ROUNDDOWN($E$7*H42/12/2,2)+ROUNDDOWN($E$7*H42/12/2,2)*0.01+ROUNDDOWN($I$47,2))*Intro!$F$17*Intro!$F$21-ROUND((($E$7*H42/12/2)*0.01+$I$47)*0.05,2)</f>
        <v>780.64608504</v>
      </c>
      <c r="J42" s="46">
        <f t="shared" si="1"/>
        <v>1021.64608504</v>
      </c>
    </row>
    <row r="43" spans="2:10" ht="19.5" customHeight="1">
      <c r="B43" s="43">
        <v>9</v>
      </c>
      <c r="C43" s="44">
        <f>Indices!C13</f>
        <v>441</v>
      </c>
      <c r="D43" s="46">
        <f>ROUNDDOWN($E$7*C43/12/2,2)+ROUNDDOWN($E$7*C43/12/2,2)*0.01-ROUNDDOWN($E$7*C43/12/2,2)*Intro!$F$7-(ROUNDDOWN($E$7*C43/12/2,2)+ROUNDDOWN($E$7*C43/12/2,2)*0.01)*Intro!$F$17*Intro!$F$19-(ROUNDDOWN($E$7*C43/12/2,2)+ROUNDDOWN($E$7*C43/12/2,2)*0.01)*Intro!$F$17*Intro!$F$21-ROUND((($E$7*C43/12/2)*0.01)*0.05,2)</f>
        <v>852.2184375800001</v>
      </c>
      <c r="E43" s="44">
        <f t="shared" si="2"/>
        <v>441</v>
      </c>
      <c r="F43" s="46">
        <f>ROUNDDOWN($E$7*E43/12/2,2)+ROUNDDOWN($E$7*E43/12/2,2)*0.01-ROUNDDOWN($E$7*E43/12/2,2)*Intro!$F$7-(ROUNDDOWN($E$7*E43/12/2,2)+ROUNDDOWN($E$7*E43/12/2,2)*0.01+ROUNDDOWN($F$47,2))*Intro!$F$17*Intro!$F$19-(ROUNDDOWN($E$7*E43/12/2,2)+ROUNDDOWN($E$7*E43/12/2,2)*0.01+ROUNDDOWN($F$47,2))*Intro!$F$17*Intro!$F$21-ROUND((($E$7*E43/12/2)*0.01+$F$47)*0.05,2)</f>
        <v>827.4243575800001</v>
      </c>
      <c r="G43" s="46">
        <f t="shared" si="0"/>
        <v>1020.2243575800001</v>
      </c>
      <c r="H43" s="44">
        <f t="shared" si="3"/>
        <v>441</v>
      </c>
      <c r="I43" s="46">
        <f>ROUNDDOWN($E$7*H43/12/2,2)+ROUNDDOWN($E$7*H43/12/2,2)*0.01-ROUNDDOWN($E$7*H43/12/2,2)*Intro!$F$7-(ROUNDDOWN($E$7*H43/12/2,2)+ROUNDDOWN($E$7*H43/12/2,2)*0.01+ROUNDDOWN($I$47,2))*Intro!$F$17*Intro!$F$19-(ROUNDDOWN($E$7*H43/12/2,2)+ROUNDDOWN($E$7*H43/12/2,2)*0.01+ROUNDDOWN($I$47,2))*Intro!$F$17*Intro!$F$21-ROUND((($E$7*H43/12/2)*0.01+$I$47)*0.05,2)</f>
        <v>821.2258375800002</v>
      </c>
      <c r="J43" s="46">
        <f t="shared" si="1"/>
        <v>1062.2258375800002</v>
      </c>
    </row>
    <row r="44" spans="2:10" ht="19.5" customHeight="1">
      <c r="B44" s="43">
        <v>10</v>
      </c>
      <c r="C44" s="44">
        <f>Indices!C14</f>
        <v>469</v>
      </c>
      <c r="D44" s="46">
        <f>ROUNDDOWN($E$7*C44/12/2,2)+ROUNDDOWN($E$7*C44/12/2,2)*0.01-ROUNDDOWN($E$7*C44/12/2,2)*Intro!$F$7-(ROUNDDOWN($E$7*C44/12/2,2)+ROUNDDOWN($E$7*C44/12/2,2)*0.01)*Intro!$F$17*Intro!$F$19-(ROUNDDOWN($E$7*C44/12/2,2)+ROUNDDOWN($E$7*C44/12/2,2)*0.01)*Intro!$F$17*Intro!$F$21-ROUND((($E$7*C44/12/2)*0.01)*0.05,2)</f>
        <v>906.3353612</v>
      </c>
      <c r="E44" s="44">
        <f t="shared" si="2"/>
        <v>469</v>
      </c>
      <c r="F44" s="46">
        <f>ROUNDDOWN($E$7*E44/12/2,2)+ROUNDDOWN($E$7*E44/12/2,2)*0.01-ROUNDDOWN($E$7*E44/12/2,2)*Intro!$F$7-(ROUNDDOWN($E$7*E44/12/2,2)+ROUNDDOWN($E$7*E44/12/2,2)*0.01+ROUNDDOWN($F$47,2))*Intro!$F$17*Intro!$F$19-(ROUNDDOWN($E$7*E44/12/2,2)+ROUNDDOWN($E$7*E44/12/2,2)*0.01+ROUNDDOWN($F$47,2))*Intro!$F$17*Intro!$F$21-ROUND((($E$7*E44/12/2)*0.01+$F$47)*0.05,2)</f>
        <v>881.5412812</v>
      </c>
      <c r="G44" s="46">
        <f t="shared" si="0"/>
        <v>1074.3412812</v>
      </c>
      <c r="H44" s="44">
        <f t="shared" si="3"/>
        <v>469</v>
      </c>
      <c r="I44" s="46">
        <f>ROUNDDOWN($E$7*H44/12/2,2)+ROUNDDOWN($E$7*H44/12/2,2)*0.01-ROUNDDOWN($E$7*H44/12/2,2)*Intro!$F$7-(ROUNDDOWN($E$7*H44/12/2,2)+ROUNDDOWN($E$7*H44/12/2,2)*0.01+ROUNDDOWN($I$47,2))*Intro!$F$17*Intro!$F$19-(ROUNDDOWN($E$7*H44/12/2,2)+ROUNDDOWN($E$7*H44/12/2,2)*0.01+ROUNDDOWN($I$47,2))*Intro!$F$17*Intro!$F$21-ROUND((($E$7*H44/12/2)*0.01+$I$47)*0.05,2)</f>
        <v>875.3427611999999</v>
      </c>
      <c r="J44" s="46">
        <f t="shared" si="1"/>
        <v>1116.3427612</v>
      </c>
    </row>
    <row r="45" spans="2:10" ht="19.5" customHeight="1" thickBot="1">
      <c r="B45" s="48">
        <v>11</v>
      </c>
      <c r="C45" s="49">
        <f>Indices!C15</f>
        <v>515</v>
      </c>
      <c r="D45" s="51">
        <f>ROUNDDOWN($E$7*C45/12/2,2)+ROUNDDOWN($E$7*C45/12/2,2)*0.01-ROUNDDOWN($E$7*C45/12/2,2)*Intro!$F$7-(ROUNDDOWN($E$7*C45/12/2,2)+ROUNDDOWN($E$7*C45/12/2,2)*0.01)*Intro!$F$17*Intro!$F$19-(ROUNDDOWN($E$7*C45/12/2,2)+ROUNDDOWN($E$7*C45/12/2,2)*0.01)*Intro!$F$17*Intro!$F$21-ROUND((($E$7*C45/12/2)*0.01)*0.05,2)</f>
        <v>995.2256522</v>
      </c>
      <c r="E45" s="49">
        <f t="shared" si="2"/>
        <v>515</v>
      </c>
      <c r="F45" s="51">
        <f>ROUNDDOWN($E$7*E45/12/2,2)+ROUNDDOWN($E$7*E45/12/2,2)*0.01-ROUNDDOWN($E$7*E45/12/2,2)*Intro!$F$7-(ROUNDDOWN($E$7*E45/12/2,2)+ROUNDDOWN($E$7*E45/12/2,2)*0.01+ROUNDDOWN($F$47,2))*Intro!$F$17*Intro!$F$19-(ROUNDDOWN($E$7*E45/12/2,2)+ROUNDDOWN($E$7*E45/12/2,2)*0.01+ROUNDDOWN($F$47,2))*Intro!$F$17*Intro!$F$21-ROUND((($E$7*E45/12/2)*0.01+$F$47)*0.05,2)</f>
        <v>970.4315722</v>
      </c>
      <c r="G45" s="51">
        <f t="shared" si="0"/>
        <v>1163.2315722</v>
      </c>
      <c r="H45" s="49">
        <f t="shared" si="3"/>
        <v>515</v>
      </c>
      <c r="I45" s="51">
        <f>ROUNDDOWN($E$7*H45/12/2,2)+ROUNDDOWN($E$7*H45/12/2,2)*0.01-ROUNDDOWN($E$7*H45/12/2,2)*Intro!$F$7-(ROUNDDOWN($E$7*H45/12/2,2)+ROUNDDOWN($E$7*H45/12/2,2)*0.01+ROUNDDOWN($I$47,2))*Intro!$F$17*Intro!$F$19-(ROUNDDOWN($E$7*H45/12/2,2)+ROUNDDOWN($E$7*H45/12/2,2)*0.01+ROUNDDOWN($I$47,2))*Intro!$F$17*Intro!$F$21-ROUND((($E$7*H45/12/2)*0.01+$I$47)*0.05,2)</f>
        <v>964.2330522</v>
      </c>
      <c r="J45" s="51">
        <f t="shared" si="1"/>
        <v>1205.2330522</v>
      </c>
    </row>
    <row r="46" spans="3:11" ht="15.75" thickBot="1" thickTop="1">
      <c r="C46" s="53"/>
      <c r="D46" s="53"/>
      <c r="E46" s="53"/>
      <c r="F46" s="176" t="s">
        <v>10</v>
      </c>
      <c r="G46" s="176"/>
      <c r="H46" s="176"/>
      <c r="I46" s="176"/>
      <c r="J46" s="176"/>
      <c r="K46" s="87"/>
    </row>
    <row r="47" spans="2:12" ht="16.5" thickBot="1" thickTop="1">
      <c r="B47" s="56"/>
      <c r="C47" s="90" t="s">
        <v>9</v>
      </c>
      <c r="D47" s="92">
        <f>Intro!H4</f>
        <v>39447</v>
      </c>
      <c r="E47" s="56"/>
      <c r="F47" s="174">
        <f>Intro!C4</f>
        <v>192.8</v>
      </c>
      <c r="G47" s="175"/>
      <c r="H47" s="91"/>
      <c r="I47" s="174">
        <f>Intro!F4</f>
        <v>241</v>
      </c>
      <c r="J47" s="175"/>
      <c r="K47" s="56"/>
      <c r="L47" s="56"/>
    </row>
    <row r="48" ht="15" thickTop="1"/>
    <row r="49" ht="14.25">
      <c r="A49" s="56"/>
    </row>
  </sheetData>
  <sheetProtection sheet="1"/>
  <mergeCells count="33">
    <mergeCell ref="D33:D34"/>
    <mergeCell ref="F33:G33"/>
    <mergeCell ref="C15:F16"/>
    <mergeCell ref="C33:C34"/>
    <mergeCell ref="H32:J32"/>
    <mergeCell ref="I4:J4"/>
    <mergeCell ref="I5:J5"/>
    <mergeCell ref="G7:J9"/>
    <mergeCell ref="H33:H34"/>
    <mergeCell ref="I33:J33"/>
    <mergeCell ref="H25:K26"/>
    <mergeCell ref="C31:J31"/>
    <mergeCell ref="C32:D32"/>
    <mergeCell ref="E32:G32"/>
    <mergeCell ref="C12:D12"/>
    <mergeCell ref="D13:D14"/>
    <mergeCell ref="F19:F20"/>
    <mergeCell ref="B2:C2"/>
    <mergeCell ref="E7:F7"/>
    <mergeCell ref="E8:F8"/>
    <mergeCell ref="E9:F9"/>
    <mergeCell ref="B4:H5"/>
    <mergeCell ref="G19:G20"/>
    <mergeCell ref="I47:J47"/>
    <mergeCell ref="F46:J46"/>
    <mergeCell ref="B13:B14"/>
    <mergeCell ref="E19:E20"/>
    <mergeCell ref="C13:C14"/>
    <mergeCell ref="E33:E34"/>
    <mergeCell ref="B33:B34"/>
    <mergeCell ref="F47:G47"/>
    <mergeCell ref="E17:G18"/>
    <mergeCell ref="H21:K22"/>
  </mergeCells>
  <conditionalFormatting sqref="B35:J45">
    <cfRule type="expression" priority="1" dxfId="0" stopIfTrue="1">
      <formula>(EVEN(ROW())=ROW())</formula>
    </cfRule>
  </conditionalFormatting>
  <conditionalFormatting sqref="E21:G27 B15:B25 C17:D25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 verticalCentered="1"/>
  <pageMargins left="0.4724409448818898" right="0.3937007874015748" top="0.31496062992125984" bottom="0.1968503937007874" header="1.4173228346456694" footer="0"/>
  <pageSetup fitToHeight="1" fitToWidth="1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showGridLines="0" showRowColHeaders="0" zoomScaleSheetLayoutView="100" zoomScalePageLayoutView="0" workbookViewId="0" topLeftCell="A1">
      <selection activeCell="N14" sqref="N14"/>
    </sheetView>
  </sheetViews>
  <sheetFormatPr defaultColWidth="11.19921875" defaultRowHeight="15"/>
  <cols>
    <col min="1" max="1" width="2.59765625" style="22" customWidth="1"/>
    <col min="2" max="2" width="8.09765625" style="22" customWidth="1"/>
    <col min="3" max="3" width="8.59765625" style="22" customWidth="1"/>
    <col min="4" max="4" width="12.59765625" style="22" customWidth="1"/>
    <col min="5" max="5" width="8.59765625" style="22" customWidth="1"/>
    <col min="6" max="7" width="12.59765625" style="22" customWidth="1"/>
    <col min="8" max="8" width="8.59765625" style="22" customWidth="1"/>
    <col min="9" max="10" width="12.59765625" style="22" customWidth="1"/>
    <col min="11" max="11" width="8.5" style="22" customWidth="1"/>
    <col min="12" max="12" width="8.8984375" style="22" customWidth="1"/>
    <col min="13" max="14" width="11" style="22" customWidth="1"/>
    <col min="15" max="15" width="11.09765625" style="22" customWidth="1"/>
    <col min="16" max="16384" width="11" style="22" customWidth="1"/>
  </cols>
  <sheetData>
    <row r="2" spans="2:10" ht="24" customHeight="1">
      <c r="B2" s="201" t="s">
        <v>33</v>
      </c>
      <c r="C2" s="201"/>
      <c r="D2" s="74"/>
      <c r="E2" s="74"/>
      <c r="F2" s="74"/>
      <c r="G2" s="74"/>
      <c r="H2" s="74"/>
      <c r="I2" s="74"/>
      <c r="J2" s="74"/>
    </row>
    <row r="3" ht="10.5" customHeight="1" thickBot="1">
      <c r="B3" s="23"/>
    </row>
    <row r="4" spans="2:10" s="24" customFormat="1" ht="36" customHeight="1" thickTop="1">
      <c r="B4" s="205" t="s">
        <v>58</v>
      </c>
      <c r="C4" s="206"/>
      <c r="D4" s="206"/>
      <c r="E4" s="206"/>
      <c r="F4" s="206"/>
      <c r="G4" s="206"/>
      <c r="H4" s="206"/>
      <c r="I4" s="213" t="s">
        <v>55</v>
      </c>
      <c r="J4" s="214"/>
    </row>
    <row r="5" spans="2:10" s="24" customFormat="1" ht="36" customHeight="1" thickBot="1">
      <c r="B5" s="207"/>
      <c r="C5" s="208"/>
      <c r="D5" s="208"/>
      <c r="E5" s="208"/>
      <c r="F5" s="208"/>
      <c r="G5" s="208"/>
      <c r="H5" s="208"/>
      <c r="I5" s="215">
        <f>Intro!H2</f>
        <v>40543</v>
      </c>
      <c r="J5" s="216"/>
    </row>
    <row r="6" spans="2:8" s="26" customFormat="1" ht="9.75" customHeight="1" thickTop="1">
      <c r="B6" s="25"/>
      <c r="C6" s="25"/>
      <c r="D6" s="25"/>
      <c r="E6" s="25"/>
      <c r="F6" s="25"/>
      <c r="G6" s="25"/>
      <c r="H6" s="25"/>
    </row>
    <row r="7" spans="2:11" s="28" customFormat="1" ht="18" customHeight="1">
      <c r="B7" s="27"/>
      <c r="D7" s="29" t="s">
        <v>4</v>
      </c>
      <c r="E7" s="202">
        <f>Intro!F2</f>
        <v>55.5635</v>
      </c>
      <c r="F7" s="203"/>
      <c r="G7" s="209" t="s">
        <v>32</v>
      </c>
      <c r="H7" s="209"/>
      <c r="I7" s="209"/>
      <c r="J7" s="209"/>
      <c r="K7" s="75"/>
    </row>
    <row r="8" spans="2:10" s="28" customFormat="1" ht="18" customHeight="1">
      <c r="B8" s="27"/>
      <c r="D8" s="29" t="s">
        <v>2</v>
      </c>
      <c r="E8" s="204">
        <f>ROUNDDOWN(E7/12,2)</f>
        <v>4.63</v>
      </c>
      <c r="F8" s="204"/>
      <c r="G8" s="209"/>
      <c r="H8" s="209"/>
      <c r="I8" s="209"/>
      <c r="J8" s="209"/>
    </row>
    <row r="9" spans="2:11" s="28" customFormat="1" ht="18" customHeight="1">
      <c r="B9" s="27"/>
      <c r="D9" s="29" t="s">
        <v>3</v>
      </c>
      <c r="E9" s="204">
        <f>ROUNDDOWN($E$7/12,2)-ROUNDDOWN($E$7/12,2)*Intro!$F$7-ROUNDDOWN($E$7/12,2)*Intro!$F$17*Intro!$F$19-ROUNDDOWN($E$7/12,2)*Intro!$F$17*Intro!$F$21-(ROUNDDOWN($E$7/12,2)-ROUNDDOWN($E$7/12,2)*Intro!$F$7)*0.01</f>
        <v>3.7824970199999997</v>
      </c>
      <c r="F9" s="204"/>
      <c r="G9" s="209"/>
      <c r="H9" s="209"/>
      <c r="I9" s="209"/>
      <c r="J9" s="209"/>
      <c r="K9" s="75"/>
    </row>
    <row r="10" spans="1:11" s="28" customFormat="1" ht="18" customHeight="1" thickBot="1">
      <c r="A10" s="56"/>
      <c r="B10" s="56"/>
      <c r="C10" s="57"/>
      <c r="D10" s="57"/>
      <c r="E10" s="58"/>
      <c r="F10" s="59"/>
      <c r="G10" s="59"/>
      <c r="H10" s="60"/>
      <c r="I10" s="61"/>
      <c r="J10" s="61"/>
      <c r="K10" s="61"/>
    </row>
    <row r="11" spans="1:12" s="28" customFormat="1" ht="22.5" customHeight="1" thickBot="1" thickTop="1">
      <c r="A11" s="22"/>
      <c r="B11" s="22"/>
      <c r="C11" s="181" t="s">
        <v>17</v>
      </c>
      <c r="D11" s="182"/>
      <c r="E11" s="56"/>
      <c r="F11" s="22"/>
      <c r="G11" s="22"/>
      <c r="H11" s="56"/>
      <c r="I11" s="22"/>
      <c r="J11" s="22"/>
      <c r="K11" s="78"/>
      <c r="L11" s="56"/>
    </row>
    <row r="12" spans="1:12" s="33" customFormat="1" ht="19.5" customHeight="1" thickTop="1">
      <c r="A12" s="28"/>
      <c r="B12" s="217" t="s">
        <v>13</v>
      </c>
      <c r="C12" s="190" t="s">
        <v>14</v>
      </c>
      <c r="D12" s="188" t="s">
        <v>15</v>
      </c>
      <c r="E12" s="28"/>
      <c r="F12" s="28"/>
      <c r="G12" s="28"/>
      <c r="H12" s="28"/>
      <c r="I12" s="28"/>
      <c r="J12" s="79"/>
      <c r="K12" s="79"/>
      <c r="L12" s="78"/>
    </row>
    <row r="13" spans="1:12" s="33" customFormat="1" ht="19.5" customHeight="1" thickBot="1">
      <c r="A13" s="63"/>
      <c r="B13" s="218"/>
      <c r="C13" s="191"/>
      <c r="D13" s="189" t="s">
        <v>18</v>
      </c>
      <c r="E13" s="63"/>
      <c r="F13" s="63"/>
      <c r="G13" s="63"/>
      <c r="H13" s="63"/>
      <c r="I13" s="63"/>
      <c r="J13" s="63"/>
      <c r="K13" s="63"/>
      <c r="L13" s="79"/>
    </row>
    <row r="14" spans="1:12" s="34" customFormat="1" ht="19.5" customHeight="1" thickTop="1">
      <c r="A14" s="63"/>
      <c r="B14" s="37">
        <v>1</v>
      </c>
      <c r="C14" s="183" t="s">
        <v>47</v>
      </c>
      <c r="D14" s="183"/>
      <c r="E14" s="183"/>
      <c r="F14" s="184"/>
      <c r="G14" s="63"/>
      <c r="H14" s="63"/>
      <c r="I14" s="63"/>
      <c r="J14" s="79"/>
      <c r="K14" s="79"/>
      <c r="L14" s="63"/>
    </row>
    <row r="15" spans="1:12" s="34" customFormat="1" ht="15.75" thickBot="1">
      <c r="A15" s="63"/>
      <c r="B15" s="43">
        <v>2</v>
      </c>
      <c r="C15" s="185"/>
      <c r="D15" s="185"/>
      <c r="E15" s="186"/>
      <c r="F15" s="187"/>
      <c r="G15" s="63"/>
      <c r="H15" s="63"/>
      <c r="I15" s="63"/>
      <c r="J15" s="63"/>
      <c r="K15" s="63"/>
      <c r="L15" s="79"/>
    </row>
    <row r="16" spans="1:12" ht="19.5" customHeight="1" thickTop="1">
      <c r="A16" s="28"/>
      <c r="B16" s="43">
        <v>3</v>
      </c>
      <c r="C16" s="44">
        <f>Indices!F7</f>
        <v>432</v>
      </c>
      <c r="D16" s="65">
        <f>ROUNDDOWN($E$7*C16/12/2,2)-ROUNDDOWN($E$7*C16/12/2,2)*Intro!$F$7-ROUNDDOWN($E$7*C16/12/2,2)*Intro!$F$17*Intro!$F$19-ROUNDDOWN($E$7*C16/12/2,2)*Intro!$F$17*Intro!$F$21</f>
        <v>826.11564</v>
      </c>
      <c r="E16" s="195" t="s">
        <v>29</v>
      </c>
      <c r="F16" s="195"/>
      <c r="G16" s="196"/>
      <c r="H16" s="63"/>
      <c r="I16" s="63"/>
      <c r="J16" s="63"/>
      <c r="K16" s="79"/>
      <c r="L16" s="63"/>
    </row>
    <row r="17" spans="2:12" ht="19.5" customHeight="1" thickBot="1">
      <c r="B17" s="43">
        <v>4</v>
      </c>
      <c r="C17" s="44">
        <f>Indices!F8</f>
        <v>445</v>
      </c>
      <c r="D17" s="65">
        <f>ROUNDDOWN($E$7*C17/12/2,2)-ROUNDDOWN($E$7*C17/12/2,2)*Intro!$F$7-ROUNDDOWN($E$7*C17/12/2,2)*Intro!$F$17*Intro!$F$19-ROUNDDOWN($E$7*C17/12/2,2)*Intro!$F$17*Intro!$F$21</f>
        <v>850.96998</v>
      </c>
      <c r="E17" s="197"/>
      <c r="F17" s="197"/>
      <c r="G17" s="198"/>
      <c r="H17" s="63"/>
      <c r="I17" s="63"/>
      <c r="J17" s="63"/>
      <c r="L17" s="28"/>
    </row>
    <row r="18" spans="2:11" ht="19.5" customHeight="1" thickTop="1">
      <c r="B18" s="43">
        <v>5</v>
      </c>
      <c r="C18" s="44">
        <f>Indices!F9</f>
        <v>458</v>
      </c>
      <c r="D18" s="65">
        <f>ROUNDDOWN($E$7*C18/12/2,2)-ROUNDDOWN($E$7*C18/12/2,2)*Intro!$F$7-ROUNDDOWN($E$7*C18/12/2,2)*Intro!$F$17*Intro!$F$19-ROUNDDOWN($E$7*C18/12/2,2)*Intro!$F$17*Intro!$F$21</f>
        <v>875.83258</v>
      </c>
      <c r="E18" s="178" t="s">
        <v>13</v>
      </c>
      <c r="F18" s="179" t="s">
        <v>14</v>
      </c>
      <c r="G18" s="188" t="s">
        <v>15</v>
      </c>
      <c r="H18" s="66" t="s">
        <v>16</v>
      </c>
      <c r="I18" s="84"/>
      <c r="J18" s="84"/>
      <c r="K18" s="84"/>
    </row>
    <row r="19" spans="2:11" ht="19.5" customHeight="1" thickBot="1">
      <c r="B19" s="43">
        <v>6</v>
      </c>
      <c r="C19" s="44">
        <f>Indices!F10</f>
        <v>467</v>
      </c>
      <c r="D19" s="65">
        <f>ROUNDDOWN($E$7*C19/12/2,2)-ROUNDDOWN($E$7*C19/12/2,2)*Intro!$F$7-ROUNDDOWN($E$7*C19/12/2,2)*Intro!$F$17*Intro!$F$19-ROUNDDOWN($E$7*C19/12/2,2)*Intro!$F$17*Intro!$F$21</f>
        <v>893.04642</v>
      </c>
      <c r="E19" s="219"/>
      <c r="F19" s="180"/>
      <c r="G19" s="189" t="s">
        <v>18</v>
      </c>
      <c r="H19" s="85" t="str">
        <f>"Retraite "&amp;Intro!F7*100&amp;" % du traitement brut"</f>
        <v>Retraite 9,54 % du traitement brut</v>
      </c>
      <c r="I19" s="71"/>
      <c r="J19" s="71"/>
      <c r="K19" s="71"/>
    </row>
    <row r="20" spans="2:11" ht="19.5" customHeight="1" thickTop="1">
      <c r="B20" s="43">
        <v>7</v>
      </c>
      <c r="C20" s="44">
        <f>Indices!F11</f>
        <v>495</v>
      </c>
      <c r="D20" s="65">
        <f>ROUNDDOWN($E$7*C20/12/2,2)-ROUNDDOWN($E$7*C20/12/2,2)*Intro!$F$7-ROUNDDOWN($E$7*C20/12/2,2)*Intro!$F$17*Intro!$F$19-ROUNDDOWN($E$7*C20/12/2,2)*Intro!$F$17*Intro!$F$21</f>
        <v>946.58774</v>
      </c>
      <c r="E20" s="67">
        <v>1</v>
      </c>
      <c r="F20" s="68">
        <f>Indices!I5</f>
        <v>495</v>
      </c>
      <c r="G20" s="64">
        <f>ROUNDDOWN($E$7*F20/12/2,2)-ROUNDDOWN($E$7*F20/12/2,2)*Intro!$F$7-ROUNDDOWN($E$7*F20/12/2,2)*Intro!$F$17*Intro!$F$19-ROUNDDOWN($E$7*F20/12/2,2)*Intro!$F$17*Intro!$F$21</f>
        <v>946.58774</v>
      </c>
      <c r="H20" s="199" t="s">
        <v>44</v>
      </c>
      <c r="I20" s="200"/>
      <c r="J20" s="200"/>
      <c r="K20" s="200"/>
    </row>
    <row r="21" spans="2:11" ht="19.5" customHeight="1">
      <c r="B21" s="43">
        <v>8</v>
      </c>
      <c r="C21" s="44">
        <f>Indices!F12</f>
        <v>531</v>
      </c>
      <c r="D21" s="65">
        <f>ROUNDDOWN($E$7*C21/12/2,2)-ROUNDDOWN($E$7*C21/12/2,2)*Intro!$F$7-ROUNDDOWN($E$7*C21/12/2,2)*Intro!$F$17*Intro!$F$19-ROUNDDOWN($E$7*C21/12/2,2)*Intro!$F$17*Intro!$F$21</f>
        <v>1015.43484</v>
      </c>
      <c r="E21" s="69">
        <v>2</v>
      </c>
      <c r="F21" s="70">
        <f>Indices!I6</f>
        <v>560</v>
      </c>
      <c r="G21" s="65">
        <f>ROUNDDOWN($E$7*F21/12/2,2)-ROUNDDOWN($E$7*F21/12/2,2)*Intro!$F$7-ROUNDDOWN($E$7*F21/12/2,2)*Intro!$F$17*Intro!$F$19-ROUNDDOWN($E$7*F21/12/2,2)*Intro!$F$17*Intro!$F$21</f>
        <v>1070.89248</v>
      </c>
      <c r="H21" s="199"/>
      <c r="I21" s="200"/>
      <c r="J21" s="200"/>
      <c r="K21" s="200"/>
    </row>
    <row r="22" spans="2:11" ht="19.5" customHeight="1">
      <c r="B22" s="43">
        <v>9</v>
      </c>
      <c r="C22" s="44">
        <f>Indices!F13</f>
        <v>567</v>
      </c>
      <c r="D22" s="65">
        <f>ROUNDDOWN($E$7*C22/12/2,2)-ROUNDDOWN($E$7*C22/12/2,2)*Intro!$F$7-ROUNDDOWN($E$7*C22/12/2,2)*Intro!$F$17*Intro!$F$19-ROUNDDOWN($E$7*C22/12/2,2)*Intro!$F$17*Intro!$F$21</f>
        <v>1084.27368</v>
      </c>
      <c r="E22" s="69">
        <v>3</v>
      </c>
      <c r="F22" s="70">
        <f>Indices!I7</f>
        <v>601</v>
      </c>
      <c r="G22" s="65">
        <f>ROUNDDOWN($E$7*F22/12/2,2)-ROUNDDOWN($E$7*F22/12/2,2)*Intro!$F$7-ROUNDDOWN($E$7*F22/12/2,2)*Intro!$F$17*Intro!$F$19-ROUNDDOWN($E$7*F22/12/2,2)*Intro!$F$17*Intro!$F$21</f>
        <v>1149.2964000000002</v>
      </c>
      <c r="H22" s="85" t="str">
        <f>"CRDS "&amp;Intro!F21*100&amp;"% (sur "&amp;Intro!F17*100&amp;"% de tous les revenus, dont IRL)"</f>
        <v>CRDS 0,5% (sur 98,25% de tous les revenus, dont IRL)</v>
      </c>
      <c r="I22" s="86"/>
      <c r="J22" s="86"/>
      <c r="K22" s="71"/>
    </row>
    <row r="23" spans="2:11" ht="19.5" customHeight="1">
      <c r="B23" s="43">
        <v>10</v>
      </c>
      <c r="C23" s="44">
        <f>Indices!F14</f>
        <v>612</v>
      </c>
      <c r="D23" s="65">
        <f>ROUNDDOWN($E$7*C23/12/2,2)-ROUNDDOWN($E$7*C23/12/2,2)*Intro!$F$7-ROUNDDOWN($E$7*C23/12/2,2)*Intro!$F$17*Intro!$F$19-ROUNDDOWN($E$7*C23/12/2,2)*Intro!$F$17*Intro!$F$21</f>
        <v>1170.32636</v>
      </c>
      <c r="E23" s="69">
        <v>4</v>
      </c>
      <c r="F23" s="70">
        <f>Indices!I8</f>
        <v>642</v>
      </c>
      <c r="G23" s="65">
        <f>ROUNDDOWN($E$7*F23/12/2,2)-ROUNDDOWN($E$7*F23/12/2,2)*Intro!$F$7-ROUNDDOWN($E$7*F23/12/2,2)*Intro!$F$17*Intro!$F$19-ROUNDDOWN($E$7*F23/12/2,2)*Intro!$F$17*Intro!$F$21</f>
        <v>1227.70032</v>
      </c>
      <c r="H23" s="85" t="str">
        <f>"CSG "&amp;Intro!F19*100&amp;"% (sur "&amp;Intro!F17*100&amp;"% de tous les revenus, dont IRL)"</f>
        <v>CSG 7,5% (sur 98,25% de tous les revenus, dont IRL)</v>
      </c>
      <c r="I23" s="71"/>
      <c r="J23" s="71"/>
      <c r="K23" s="71"/>
    </row>
    <row r="24" spans="2:11" ht="19.5" customHeight="1" thickBot="1">
      <c r="B24" s="48">
        <v>11</v>
      </c>
      <c r="C24" s="49">
        <f>Indices!F15</f>
        <v>658</v>
      </c>
      <c r="D24" s="72">
        <f>ROUNDDOWN($E$7*C24/12/2,2)-ROUNDDOWN($E$7*C24/12/2,2)*Intro!$F$7-ROUNDDOWN($E$7*C24/12/2,2)*Intro!$F$17*Intro!$F$19-ROUNDDOWN($E$7*C24/12/2,2)*Intro!$F$17*Intro!$F$21</f>
        <v>1258.2953599999998</v>
      </c>
      <c r="E24" s="69">
        <v>5</v>
      </c>
      <c r="F24" s="70">
        <f>Indices!I9</f>
        <v>695</v>
      </c>
      <c r="G24" s="93">
        <f>ROUNDDOWN($E$7*F24/12/2,2)-ROUNDDOWN($E$7*F24/12/2,2)*Intro!$F$7-ROUNDDOWN($E$7*F24/12/2,2)*Intro!$F$17*Intro!$F$19-ROUNDDOWN($E$7*F24/12/2,2)*Intro!$F$17*Intro!$F$21-(ROUNDDOWN($E$7*F24/12/2,2)-ROUNDDOWN($E$7*F24/12/2,2)*Intro!$F$7)*0.01</f>
        <v>1314.49532508</v>
      </c>
      <c r="H24" s="199" t="s">
        <v>41</v>
      </c>
      <c r="I24" s="200"/>
      <c r="J24" s="200"/>
      <c r="K24" s="200"/>
    </row>
    <row r="25" spans="5:11" ht="19.5" customHeight="1" thickTop="1">
      <c r="E25" s="43">
        <v>6</v>
      </c>
      <c r="F25" s="70">
        <f>Indices!I10</f>
        <v>741</v>
      </c>
      <c r="G25" s="93">
        <f>ROUNDDOWN($E$7*F25/12/2,2)-ROUNDDOWN($E$7*F25/12/2,2)*Intro!$F$7-ROUNDDOWN($E$7*F25/12/2,2)*Intro!$F$17*Intro!$F$19-ROUNDDOWN($E$7*F25/12/2,2)*Intro!$F$17*Intro!$F$21-(ROUNDDOWN($E$7*F25/12/2,2)-ROUNDDOWN($E$7*F25/12/2,2)*Intro!$F$7)*0.01</f>
        <v>1401.50092608</v>
      </c>
      <c r="H25" s="199"/>
      <c r="I25" s="200"/>
      <c r="J25" s="200"/>
      <c r="K25" s="200"/>
    </row>
    <row r="26" spans="3:9" ht="19.5" customHeight="1" thickBot="1">
      <c r="C26" s="28"/>
      <c r="D26" s="28"/>
      <c r="E26" s="48">
        <v>7</v>
      </c>
      <c r="F26" s="73">
        <f>Indices!I11</f>
        <v>783</v>
      </c>
      <c r="G26" s="94">
        <f>ROUNDDOWN($E$7*F26/12/2,2)-ROUNDDOWN($E$7*F26/12/2,2)*Intro!$F$7-ROUNDDOWN($E$7*F26/12/2,2)*Intro!$F$17*Intro!$F$19-ROUNDDOWN($E$7*F26/12/2,2)*Intro!$F$17*Intro!$F$21-(ROUNDDOWN($E$7*F26/12/2,2)-ROUNDDOWN($E$7*F26/12/2,2)*Intro!$F$7)*0.01</f>
        <v>1480.9333635</v>
      </c>
      <c r="I26" s="88"/>
    </row>
    <row r="27" spans="3:9" ht="19.5" customHeight="1" thickTop="1">
      <c r="C27" s="63"/>
      <c r="D27" s="63"/>
      <c r="I27" s="89"/>
    </row>
    <row r="28" spans="1:12" s="56" customFormat="1" ht="14.25">
      <c r="A28" s="22"/>
      <c r="B28" s="95" t="s">
        <v>31</v>
      </c>
      <c r="C28" s="63"/>
      <c r="D28" s="63"/>
      <c r="E28" s="63"/>
      <c r="F28" s="22"/>
      <c r="G28" s="22"/>
      <c r="H28" s="22"/>
      <c r="I28" s="22"/>
      <c r="J28" s="22"/>
      <c r="K28" s="22"/>
      <c r="L28" s="22"/>
    </row>
    <row r="29" spans="1:12" s="56" customFormat="1" ht="39.75" customHeight="1" thickBot="1">
      <c r="A29" s="28"/>
      <c r="B29" s="28"/>
      <c r="C29" s="28"/>
      <c r="D29" s="28"/>
      <c r="E29" s="28"/>
      <c r="F29" s="28"/>
      <c r="G29" s="28"/>
      <c r="H29" s="28"/>
      <c r="I29" s="28"/>
      <c r="J29" s="77" t="s">
        <v>37</v>
      </c>
      <c r="K29" s="28"/>
      <c r="L29" s="22"/>
    </row>
    <row r="30" spans="1:12" ht="19.5" customHeight="1" thickBot="1" thickTop="1">
      <c r="A30" s="33"/>
      <c r="B30" s="32"/>
      <c r="C30" s="181" t="s">
        <v>12</v>
      </c>
      <c r="D30" s="212"/>
      <c r="E30" s="212"/>
      <c r="F30" s="212"/>
      <c r="G30" s="212"/>
      <c r="H30" s="212"/>
      <c r="I30" s="212"/>
      <c r="J30" s="182"/>
      <c r="K30" s="33"/>
      <c r="L30" s="28"/>
    </row>
    <row r="31" spans="1:12" s="28" customFormat="1" ht="19.5" customHeight="1" thickBot="1" thickTop="1">
      <c r="A31" s="33"/>
      <c r="B31" s="32"/>
      <c r="C31" s="192" t="s">
        <v>26</v>
      </c>
      <c r="D31" s="193"/>
      <c r="E31" s="192" t="s">
        <v>0</v>
      </c>
      <c r="F31" s="193"/>
      <c r="G31" s="193"/>
      <c r="H31" s="192" t="s">
        <v>1</v>
      </c>
      <c r="I31" s="193"/>
      <c r="J31" s="194"/>
      <c r="K31" s="33"/>
      <c r="L31" s="33"/>
    </row>
    <row r="32" spans="1:12" s="63" customFormat="1" ht="19.5" customHeight="1" thickTop="1">
      <c r="A32" s="34"/>
      <c r="B32" s="217" t="s">
        <v>13</v>
      </c>
      <c r="C32" s="190" t="s">
        <v>14</v>
      </c>
      <c r="D32" s="188" t="s">
        <v>15</v>
      </c>
      <c r="E32" s="190" t="s">
        <v>14</v>
      </c>
      <c r="F32" s="177" t="s">
        <v>15</v>
      </c>
      <c r="G32" s="178"/>
      <c r="H32" s="190" t="s">
        <v>14</v>
      </c>
      <c r="I32" s="177" t="s">
        <v>15</v>
      </c>
      <c r="J32" s="178"/>
      <c r="K32" s="34"/>
      <c r="L32" s="33"/>
    </row>
    <row r="33" spans="1:12" s="63" customFormat="1" ht="19.5" customHeight="1" thickBot="1">
      <c r="A33" s="34"/>
      <c r="B33" s="218"/>
      <c r="C33" s="191"/>
      <c r="D33" s="189" t="s">
        <v>18</v>
      </c>
      <c r="E33" s="236"/>
      <c r="F33" s="35" t="s">
        <v>27</v>
      </c>
      <c r="G33" s="35" t="s">
        <v>28</v>
      </c>
      <c r="H33" s="236"/>
      <c r="I33" s="35" t="s">
        <v>27</v>
      </c>
      <c r="J33" s="35" t="s">
        <v>28</v>
      </c>
      <c r="K33" s="34"/>
      <c r="L33" s="34"/>
    </row>
    <row r="34" spans="1:12" s="63" customFormat="1" ht="19.5" customHeight="1" thickTop="1">
      <c r="A34" s="22"/>
      <c r="B34" s="37">
        <v>1</v>
      </c>
      <c r="C34" s="38">
        <f>Indices!C5</f>
        <v>341</v>
      </c>
      <c r="D34" s="41">
        <f>ROUNDDOWN($E$7*C34/12/2,2)-ROUNDDOWN($E$7*C34/12/2,2)*Intro!$F$7-ROUNDDOWN($E$7*C34/12/2,2)*Intro!$F$17*Intro!$F$19-ROUNDDOWN($E$7*C34/12/2,2)*Intro!$F$17*Intro!$F$21</f>
        <v>652.09396</v>
      </c>
      <c r="E34" s="40">
        <f>C34</f>
        <v>341</v>
      </c>
      <c r="F34" s="41">
        <f>ROUNDDOWN($E$7*E34/12/2,2)-ROUNDDOWN($E$7*E34/12/2,2)*Intro!$F$7-(ROUNDDOWN($E$7*E34/12/2,2)+ROUNDDOWN($F$46,2))*Intro!$F$17*Intro!$F$19-(ROUNDDOWN($E$7*E34/12/2,2)+ROUNDDOWN($F$46,2))*Intro!$F$17*Intro!$F$21-ROUND($F$46*0.05,2)</f>
        <v>627.29988</v>
      </c>
      <c r="G34" s="41">
        <f aca="true" t="shared" si="0" ref="G34:G44">F34+$F$46</f>
        <v>820.09988</v>
      </c>
      <c r="H34" s="40">
        <f>C34</f>
        <v>341</v>
      </c>
      <c r="I34" s="41">
        <f>ROUNDDOWN($E$7*H34/12/2,2)-ROUNDDOWN($E$7*H34/12/2,2)*Intro!$F$7-(ROUNDDOWN($E$7*H34/12/2,2)+ROUNDDOWN($J$46,2))*Intro!$F$17*Intro!$F$19-(ROUNDDOWN($E$7*H34/12/2,2)+ROUNDDOWN($J$46,2))*Intro!$F$17*Intro!$F$21-ROUND($J$46*0.05,2)</f>
        <v>652.09396</v>
      </c>
      <c r="J34" s="41">
        <f aca="true" t="shared" si="1" ref="J34:J44">I34+$J$46</f>
        <v>652.09396</v>
      </c>
      <c r="K34" s="22"/>
      <c r="L34" s="34"/>
    </row>
    <row r="35" spans="1:12" s="28" customFormat="1" ht="19.5" customHeight="1">
      <c r="A35" s="22"/>
      <c r="B35" s="43">
        <v>2</v>
      </c>
      <c r="C35" s="44">
        <f>Indices!C6</f>
        <v>357</v>
      </c>
      <c r="D35" s="46">
        <f>ROUNDDOWN($E$7*C35/12/2,2)-ROUNDDOWN($E$7*C35/12/2,2)*Intro!$F$7-ROUNDDOWN($E$7*C35/12/2,2)*Intro!$F$17*Intro!$F$19-ROUNDDOWN($E$7*C35/12/2,2)*Intro!$F$17*Intro!$F$21</f>
        <v>682.689</v>
      </c>
      <c r="E35" s="44">
        <f aca="true" t="shared" si="2" ref="E35:E44">C35</f>
        <v>357</v>
      </c>
      <c r="F35" s="46">
        <f>ROUNDDOWN($E$7*E35/12/2,2)-ROUNDDOWN($E$7*E35/12/2,2)*Intro!$F$7-(ROUNDDOWN($E$7*E35/12/2,2)+ROUNDDOWN($F$46,2))*Intro!$F$17*Intro!$F$19-(ROUNDDOWN($E$7*E35/12/2,2)+ROUNDDOWN($F$46,2))*Intro!$F$17*Intro!$F$21-ROUND($F$46*0.05,2)</f>
        <v>657.89492</v>
      </c>
      <c r="G35" s="46">
        <f t="shared" si="0"/>
        <v>850.6949199999999</v>
      </c>
      <c r="H35" s="44">
        <f aca="true" t="shared" si="3" ref="H35:H44">C35</f>
        <v>357</v>
      </c>
      <c r="I35" s="46">
        <f>ROUNDDOWN($E$7*H35/12/2,2)-ROUNDDOWN($E$7*H35/12/2,2)*Intro!$F$7-(ROUNDDOWN($E$7*H35/12/2,2)+ROUNDDOWN($J$46,2))*Intro!$F$17*Intro!$F$19-(ROUNDDOWN($E$7*H35/12/2,2)+ROUNDDOWN($J$46,2))*Intro!$F$17*Intro!$F$21-ROUND($J$46*0.05,2)</f>
        <v>682.689</v>
      </c>
      <c r="J35" s="46">
        <f t="shared" si="1"/>
        <v>682.689</v>
      </c>
      <c r="K35" s="22"/>
      <c r="L35" s="22"/>
    </row>
    <row r="36" spans="2:10" ht="19.5" customHeight="1">
      <c r="B36" s="43">
        <v>3</v>
      </c>
      <c r="C36" s="44">
        <f>Indices!C7</f>
        <v>366</v>
      </c>
      <c r="D36" s="46">
        <f>ROUNDDOWN($E$7*C36/12/2,2)-ROUNDDOWN($E$7*C36/12/2,2)*Intro!$F$7-ROUNDDOWN($E$7*C36/12/2,2)*Intro!$F$17*Intro!$F$19-ROUNDDOWN($E$7*C36/12/2,2)*Intro!$F$17*Intro!$F$21</f>
        <v>699.9028400000001</v>
      </c>
      <c r="E36" s="44">
        <f t="shared" si="2"/>
        <v>366</v>
      </c>
      <c r="F36" s="46">
        <f>ROUNDDOWN($E$7*E36/12/2,2)-ROUNDDOWN($E$7*E36/12/2,2)*Intro!$F$7-(ROUNDDOWN($E$7*E36/12/2,2)+ROUNDDOWN($F$46,2))*Intro!$F$17*Intro!$F$19-(ROUNDDOWN($E$7*E36/12/2,2)+ROUNDDOWN($F$46,2))*Intro!$F$17*Intro!$F$21-ROUND($F$46*0.05,2)</f>
        <v>675.1087600000001</v>
      </c>
      <c r="G36" s="46">
        <f t="shared" si="0"/>
        <v>867.90876</v>
      </c>
      <c r="H36" s="44">
        <f t="shared" si="3"/>
        <v>366</v>
      </c>
      <c r="I36" s="46">
        <f>ROUNDDOWN($E$7*H36/12/2,2)-ROUNDDOWN($E$7*H36/12/2,2)*Intro!$F$7-(ROUNDDOWN($E$7*H36/12/2,2)+ROUNDDOWN($J$46,2))*Intro!$F$17*Intro!$F$19-(ROUNDDOWN($E$7*H36/12/2,2)+ROUNDDOWN($J$46,2))*Intro!$F$17*Intro!$F$21-ROUND($J$46*0.05,2)</f>
        <v>699.9028400000001</v>
      </c>
      <c r="J36" s="46">
        <f t="shared" si="1"/>
        <v>699.9028400000001</v>
      </c>
    </row>
    <row r="37" spans="2:10" ht="19.5" customHeight="1">
      <c r="B37" s="43">
        <v>4</v>
      </c>
      <c r="C37" s="44">
        <f>Indices!C8</f>
        <v>373</v>
      </c>
      <c r="D37" s="46">
        <f>ROUNDDOWN($E$7*C37/12/2,2)-ROUNDDOWN($E$7*C37/12/2,2)*Intro!$F$7-ROUNDDOWN($E$7*C37/12/2,2)*Intro!$F$17*Intro!$F$19-ROUNDDOWN($E$7*C37/12/2,2)*Intro!$F$17*Intro!$F$21</f>
        <v>713.2840399999999</v>
      </c>
      <c r="E37" s="44">
        <f t="shared" si="2"/>
        <v>373</v>
      </c>
      <c r="F37" s="46">
        <f>ROUNDDOWN($E$7*E37/12/2,2)-ROUNDDOWN($E$7*E37/12/2,2)*Intro!$F$7-(ROUNDDOWN($E$7*E37/12/2,2)+ROUNDDOWN($F$46,2))*Intro!$F$17*Intro!$F$19-(ROUNDDOWN($E$7*E37/12/2,2)+ROUNDDOWN($F$46,2))*Intro!$F$17*Intro!$F$21-ROUND($F$46*0.05,2)</f>
        <v>688.48996</v>
      </c>
      <c r="G37" s="46">
        <f t="shared" si="0"/>
        <v>881.2899600000001</v>
      </c>
      <c r="H37" s="44">
        <f t="shared" si="3"/>
        <v>373</v>
      </c>
      <c r="I37" s="46">
        <f>ROUNDDOWN($E$7*H37/12/2,2)-ROUNDDOWN($E$7*H37/12/2,2)*Intro!$F$7-(ROUNDDOWN($E$7*H37/12/2,2)+ROUNDDOWN($J$46,2))*Intro!$F$17*Intro!$F$19-(ROUNDDOWN($E$7*H37/12/2,2)+ROUNDDOWN($J$46,2))*Intro!$F$17*Intro!$F$21-ROUND($J$46*0.05,2)</f>
        <v>713.2840399999999</v>
      </c>
      <c r="J37" s="46">
        <f t="shared" si="1"/>
        <v>713.2840399999999</v>
      </c>
    </row>
    <row r="38" spans="2:10" ht="19.5" customHeight="1">
      <c r="B38" s="43">
        <v>5</v>
      </c>
      <c r="C38" s="44">
        <f>Indices!C9</f>
        <v>383</v>
      </c>
      <c r="D38" s="46">
        <f>ROUNDDOWN($E$7*C38/12/2,2)-ROUNDDOWN($E$7*C38/12/2,2)*Intro!$F$7-ROUNDDOWN($E$7*C38/12/2,2)*Intro!$F$17*Intro!$F$19-ROUNDDOWN($E$7*C38/12/2,2)*Intro!$F$17*Intro!$F$21</f>
        <v>732.4142</v>
      </c>
      <c r="E38" s="44">
        <f t="shared" si="2"/>
        <v>383</v>
      </c>
      <c r="F38" s="46">
        <f>ROUNDDOWN($E$7*E38/12/2,2)-ROUNDDOWN($E$7*E38/12/2,2)*Intro!$F$7-(ROUNDDOWN($E$7*E38/12/2,2)+ROUNDDOWN($F$46,2))*Intro!$F$17*Intro!$F$19-(ROUNDDOWN($E$7*E38/12/2,2)+ROUNDDOWN($F$46,2))*Intro!$F$17*Intro!$F$21-ROUND($F$46*0.05,2)</f>
        <v>707.62012</v>
      </c>
      <c r="G38" s="46">
        <f t="shared" si="0"/>
        <v>900.42012</v>
      </c>
      <c r="H38" s="44">
        <f t="shared" si="3"/>
        <v>383</v>
      </c>
      <c r="I38" s="46">
        <f>ROUNDDOWN($E$7*H38/12/2,2)-ROUNDDOWN($E$7*H38/12/2,2)*Intro!$F$7-(ROUNDDOWN($E$7*H38/12/2,2)+ROUNDDOWN($J$46,2))*Intro!$F$17*Intro!$F$19-(ROUNDDOWN($E$7*H38/12/2,2)+ROUNDDOWN($J$46,2))*Intro!$F$17*Intro!$F$21-ROUND($J$46*0.05,2)</f>
        <v>732.4142</v>
      </c>
      <c r="J38" s="46">
        <f t="shared" si="1"/>
        <v>732.4142</v>
      </c>
    </row>
    <row r="39" spans="2:10" ht="19.5" customHeight="1">
      <c r="B39" s="43">
        <v>6</v>
      </c>
      <c r="C39" s="44">
        <f>Indices!C10</f>
        <v>390</v>
      </c>
      <c r="D39" s="46">
        <f>ROUNDDOWN($E$7*C39/12/2,2)-ROUNDDOWN($E$7*C39/12/2,2)*Intro!$F$7-ROUNDDOWN($E$7*C39/12/2,2)*Intro!$F$17*Intro!$F$19-ROUNDDOWN($E$7*C39/12/2,2)*Intro!$F$17*Intro!$F$21</f>
        <v>745.7954</v>
      </c>
      <c r="E39" s="44">
        <f t="shared" si="2"/>
        <v>390</v>
      </c>
      <c r="F39" s="46">
        <f>ROUNDDOWN($E$7*E39/12/2,2)-ROUNDDOWN($E$7*E39/12/2,2)*Intro!$F$7-(ROUNDDOWN($E$7*E39/12/2,2)+ROUNDDOWN($F$46,2))*Intro!$F$17*Intro!$F$19-(ROUNDDOWN($E$7*E39/12/2,2)+ROUNDDOWN($F$46,2))*Intro!$F$17*Intro!$F$21-ROUND($F$46*0.05,2)</f>
        <v>721.00132</v>
      </c>
      <c r="G39" s="46">
        <f t="shared" si="0"/>
        <v>913.80132</v>
      </c>
      <c r="H39" s="44">
        <f t="shared" si="3"/>
        <v>390</v>
      </c>
      <c r="I39" s="46">
        <f>ROUNDDOWN($E$7*H39/12/2,2)-ROUNDDOWN($E$7*H39/12/2,2)*Intro!$F$7-(ROUNDDOWN($E$7*H39/12/2,2)+ROUNDDOWN($J$46,2))*Intro!$F$17*Intro!$F$19-(ROUNDDOWN($E$7*H39/12/2,2)+ROUNDDOWN($J$46,2))*Intro!$F$17*Intro!$F$21-ROUND($J$46*0.05,2)</f>
        <v>745.7954</v>
      </c>
      <c r="J39" s="46">
        <f t="shared" si="1"/>
        <v>745.7954</v>
      </c>
    </row>
    <row r="40" spans="2:10" ht="19.5" customHeight="1">
      <c r="B40" s="43">
        <v>7</v>
      </c>
      <c r="C40" s="44">
        <f>Indices!C11</f>
        <v>399</v>
      </c>
      <c r="D40" s="46">
        <f>ROUNDDOWN($E$7*C40/12/2,2)-ROUNDDOWN($E$7*C40/12/2,2)*Intro!$F$7-ROUNDDOWN($E$7*C40/12/2,2)*Intro!$F$17*Intro!$F$19-ROUNDDOWN($E$7*C40/12/2,2)*Intro!$F$17*Intro!$F$21</f>
        <v>763.00924</v>
      </c>
      <c r="E40" s="44">
        <f t="shared" si="2"/>
        <v>399</v>
      </c>
      <c r="F40" s="46">
        <f>ROUNDDOWN($E$7*E40/12/2,2)-ROUNDDOWN($E$7*E40/12/2,2)*Intro!$F$7-(ROUNDDOWN($E$7*E40/12/2,2)+ROUNDDOWN($F$46,2))*Intro!$F$17*Intro!$F$19-(ROUNDDOWN($E$7*E40/12/2,2)+ROUNDDOWN($F$46,2))*Intro!$F$17*Intro!$F$21-ROUND($F$46*0.05,2)</f>
        <v>738.21516</v>
      </c>
      <c r="G40" s="46">
        <f t="shared" si="0"/>
        <v>931.0151599999999</v>
      </c>
      <c r="H40" s="44">
        <f t="shared" si="3"/>
        <v>399</v>
      </c>
      <c r="I40" s="46">
        <f>ROUNDDOWN($E$7*H40/12/2,2)-ROUNDDOWN($E$7*H40/12/2,2)*Intro!$F$7-(ROUNDDOWN($E$7*H40/12/2,2)+ROUNDDOWN($J$46,2))*Intro!$F$17*Intro!$F$19-(ROUNDDOWN($E$7*H40/12/2,2)+ROUNDDOWN($J$46,2))*Intro!$F$17*Intro!$F$21-ROUND($J$46*0.05,2)</f>
        <v>763.00924</v>
      </c>
      <c r="J40" s="46">
        <f t="shared" si="1"/>
        <v>763.00924</v>
      </c>
    </row>
    <row r="41" spans="2:10" ht="19.5" customHeight="1">
      <c r="B41" s="43">
        <v>8</v>
      </c>
      <c r="C41" s="44">
        <f>Indices!C12</f>
        <v>420</v>
      </c>
      <c r="D41" s="46">
        <f>ROUNDDOWN($E$7*C41/12/2,2)-ROUNDDOWN($E$7*C41/12/2,2)*Intro!$F$7-ROUNDDOWN($E$7*C41/12/2,2)*Intro!$F$17*Intro!$F$19-ROUNDDOWN($E$7*C41/12/2,2)*Intro!$F$17*Intro!$F$21</f>
        <v>803.16936</v>
      </c>
      <c r="E41" s="44">
        <f t="shared" si="2"/>
        <v>420</v>
      </c>
      <c r="F41" s="46">
        <f>ROUNDDOWN($E$7*E41/12/2,2)-ROUNDDOWN($E$7*E41/12/2,2)*Intro!$F$7-(ROUNDDOWN($E$7*E41/12/2,2)+ROUNDDOWN($F$46,2))*Intro!$F$17*Intro!$F$19-(ROUNDDOWN($E$7*E41/12/2,2)+ROUNDDOWN($F$46,2))*Intro!$F$17*Intro!$F$21-ROUND($F$46*0.05,2)</f>
        <v>778.37528</v>
      </c>
      <c r="G41" s="46">
        <f t="shared" si="0"/>
        <v>971.1752799999999</v>
      </c>
      <c r="H41" s="44">
        <f t="shared" si="3"/>
        <v>420</v>
      </c>
      <c r="I41" s="46">
        <f>ROUNDDOWN($E$7*H41/12/2,2)-ROUNDDOWN($E$7*H41/12/2,2)*Intro!$F$7-(ROUNDDOWN($E$7*H41/12/2,2)+ROUNDDOWN($J$46,2))*Intro!$F$17*Intro!$F$19-(ROUNDDOWN($E$7*H41/12/2,2)+ROUNDDOWN($J$46,2))*Intro!$F$17*Intro!$F$21-ROUND($J$46*0.05,2)</f>
        <v>803.16936</v>
      </c>
      <c r="J41" s="46">
        <f t="shared" si="1"/>
        <v>803.16936</v>
      </c>
    </row>
    <row r="42" spans="2:10" ht="19.5" customHeight="1">
      <c r="B42" s="43">
        <v>9</v>
      </c>
      <c r="C42" s="44">
        <f>Indices!C13</f>
        <v>441</v>
      </c>
      <c r="D42" s="46">
        <f>ROUNDDOWN($E$7*C42/12/2,2)-ROUNDDOWN($E$7*C42/12/2,2)*Intro!$F$7-ROUNDDOWN($E$7*C42/12/2,2)*Intro!$F$17*Intro!$F$19-ROUNDDOWN($E$7*C42/12/2,2)*Intro!$F$17*Intro!$F$21</f>
        <v>843.32122</v>
      </c>
      <c r="E42" s="44">
        <f t="shared" si="2"/>
        <v>441</v>
      </c>
      <c r="F42" s="46">
        <f>ROUNDDOWN($E$7*E42/12/2,2)-ROUNDDOWN($E$7*E42/12/2,2)*Intro!$F$7-(ROUNDDOWN($E$7*E42/12/2,2)+ROUNDDOWN($F$46,2))*Intro!$F$17*Intro!$F$19-(ROUNDDOWN($E$7*E42/12/2,2)+ROUNDDOWN($F$46,2))*Intro!$F$17*Intro!$F$21-ROUND($F$46*0.05,2)</f>
        <v>818.52714</v>
      </c>
      <c r="G42" s="46">
        <f t="shared" si="0"/>
        <v>1011.3271400000001</v>
      </c>
      <c r="H42" s="44">
        <f t="shared" si="3"/>
        <v>441</v>
      </c>
      <c r="I42" s="46">
        <f>ROUNDDOWN($E$7*H42/12/2,2)-ROUNDDOWN($E$7*H42/12/2,2)*Intro!$F$7-(ROUNDDOWN($E$7*H42/12/2,2)+ROUNDDOWN($J$46,2))*Intro!$F$17*Intro!$F$19-(ROUNDDOWN($E$7*H42/12/2,2)+ROUNDDOWN($J$46,2))*Intro!$F$17*Intro!$F$21-ROUND($J$46*0.05,2)</f>
        <v>843.32122</v>
      </c>
      <c r="J42" s="46">
        <f t="shared" si="1"/>
        <v>843.32122</v>
      </c>
    </row>
    <row r="43" spans="2:10" ht="19.5" customHeight="1">
      <c r="B43" s="43">
        <v>10</v>
      </c>
      <c r="C43" s="44">
        <f>Indices!C14</f>
        <v>469</v>
      </c>
      <c r="D43" s="46">
        <f>ROUNDDOWN($E$7*C43/12/2,2)-ROUNDDOWN($E$7*C43/12/2,2)*Intro!$F$7-ROUNDDOWN($E$7*C43/12/2,2)*Intro!$F$17*Intro!$F$19-ROUNDDOWN($E$7*C43/12/2,2)*Intro!$F$17*Intro!$F$21</f>
        <v>896.8707999999999</v>
      </c>
      <c r="E43" s="44">
        <f t="shared" si="2"/>
        <v>469</v>
      </c>
      <c r="F43" s="46">
        <f>ROUNDDOWN($E$7*E43/12/2,2)-ROUNDDOWN($E$7*E43/12/2,2)*Intro!$F$7-(ROUNDDOWN($E$7*E43/12/2,2)+ROUNDDOWN($F$46,2))*Intro!$F$17*Intro!$F$19-(ROUNDDOWN($E$7*E43/12/2,2)+ROUNDDOWN($F$46,2))*Intro!$F$17*Intro!$F$21-ROUND($F$46*0.05,2)</f>
        <v>872.0767199999999</v>
      </c>
      <c r="G43" s="46">
        <f t="shared" si="0"/>
        <v>1064.87672</v>
      </c>
      <c r="H43" s="44">
        <f t="shared" si="3"/>
        <v>469</v>
      </c>
      <c r="I43" s="46">
        <f>ROUNDDOWN($E$7*H43/12/2,2)-ROUNDDOWN($E$7*H43/12/2,2)*Intro!$F$7-(ROUNDDOWN($E$7*H43/12/2,2)+ROUNDDOWN($J$46,2))*Intro!$F$17*Intro!$F$19-(ROUNDDOWN($E$7*H43/12/2,2)+ROUNDDOWN($J$46,2))*Intro!$F$17*Intro!$F$21-ROUND($J$46*0.05,2)</f>
        <v>896.8707999999999</v>
      </c>
      <c r="J43" s="46">
        <f t="shared" si="1"/>
        <v>896.8707999999999</v>
      </c>
    </row>
    <row r="44" spans="2:10" ht="19.5" customHeight="1" thickBot="1">
      <c r="B44" s="48">
        <v>11</v>
      </c>
      <c r="C44" s="49">
        <f>Indices!C15</f>
        <v>515</v>
      </c>
      <c r="D44" s="51">
        <f>ROUNDDOWN($E$7*C44/12/2,2)-ROUNDDOWN($E$7*C44/12/2,2)*Intro!$F$7-ROUNDDOWN($E$7*C44/12/2,2)*Intro!$F$17*Intro!$F$19-ROUNDDOWN($E$7*C44/12/2,2)*Intro!$F$17*Intro!$F$21</f>
        <v>984.8398</v>
      </c>
      <c r="E44" s="49">
        <f t="shared" si="2"/>
        <v>515</v>
      </c>
      <c r="F44" s="51">
        <f>ROUNDDOWN($E$7*E44/12/2,2)-ROUNDDOWN($E$7*E44/12/2,2)*Intro!$F$7-(ROUNDDOWN($E$7*E44/12/2,2)+ROUNDDOWN($F$46,2))*Intro!$F$17*Intro!$F$19-(ROUNDDOWN($E$7*E44/12/2,2)+ROUNDDOWN($F$46,2))*Intro!$F$17*Intro!$F$21-ROUND($F$46*0.05,2)</f>
        <v>960.04572</v>
      </c>
      <c r="G44" s="51">
        <f t="shared" si="0"/>
        <v>1152.84572</v>
      </c>
      <c r="H44" s="49">
        <f t="shared" si="3"/>
        <v>515</v>
      </c>
      <c r="I44" s="51">
        <f>ROUNDDOWN($E$7*H44/12/2,2)-ROUNDDOWN($E$7*H44/12/2,2)*Intro!$F$7-(ROUNDDOWN($E$7*H44/12/2,2)+ROUNDDOWN($J$46,2))*Intro!$F$17*Intro!$F$19-(ROUNDDOWN($E$7*H44/12/2,2)+ROUNDDOWN($J$46,2))*Intro!$F$17*Intro!$F$21-ROUND($J$46*0.05,2)</f>
        <v>984.8398</v>
      </c>
      <c r="J44" s="51">
        <f t="shared" si="1"/>
        <v>984.8398</v>
      </c>
    </row>
    <row r="45" spans="3:11" ht="19.5" customHeight="1" thickBot="1" thickTop="1">
      <c r="C45" s="53"/>
      <c r="D45" s="53"/>
      <c r="E45" s="53"/>
      <c r="F45" s="176" t="s">
        <v>10</v>
      </c>
      <c r="G45" s="176"/>
      <c r="H45" s="176"/>
      <c r="I45" s="176"/>
      <c r="J45" s="176"/>
      <c r="K45" s="87"/>
    </row>
    <row r="46" spans="1:11" ht="16.5" thickBot="1" thickTop="1">
      <c r="A46" s="56"/>
      <c r="B46" s="56"/>
      <c r="C46" s="90" t="s">
        <v>9</v>
      </c>
      <c r="D46" s="92">
        <f>Intro!H4</f>
        <v>39447</v>
      </c>
      <c r="E46" s="56"/>
      <c r="F46" s="174">
        <f>Intro!C4</f>
        <v>192.8</v>
      </c>
      <c r="G46" s="175"/>
      <c r="H46" s="91"/>
      <c r="I46" s="174">
        <f>Intro!F4</f>
        <v>241</v>
      </c>
      <c r="J46" s="175"/>
      <c r="K46" s="56"/>
    </row>
    <row r="47" spans="3:12" ht="15" thickTop="1">
      <c r="C47" s="28"/>
      <c r="D47" s="28"/>
      <c r="E47" s="28"/>
      <c r="L47" s="56"/>
    </row>
  </sheetData>
  <sheetProtection sheet="1"/>
  <mergeCells count="33">
    <mergeCell ref="D32:D33"/>
    <mergeCell ref="F32:G32"/>
    <mergeCell ref="B12:B13"/>
    <mergeCell ref="E18:E19"/>
    <mergeCell ref="C12:C13"/>
    <mergeCell ref="F18:F19"/>
    <mergeCell ref="B4:H5"/>
    <mergeCell ref="I4:J4"/>
    <mergeCell ref="I5:J5"/>
    <mergeCell ref="B2:C2"/>
    <mergeCell ref="B32:B33"/>
    <mergeCell ref="C32:C33"/>
    <mergeCell ref="E7:F7"/>
    <mergeCell ref="E8:F8"/>
    <mergeCell ref="E9:F9"/>
    <mergeCell ref="E32:E33"/>
    <mergeCell ref="I32:J32"/>
    <mergeCell ref="F45:J45"/>
    <mergeCell ref="F46:G46"/>
    <mergeCell ref="I46:J46"/>
    <mergeCell ref="H32:H33"/>
    <mergeCell ref="G7:J9"/>
    <mergeCell ref="C30:J30"/>
    <mergeCell ref="C31:D31"/>
    <mergeCell ref="E31:G31"/>
    <mergeCell ref="H31:J31"/>
    <mergeCell ref="H20:K21"/>
    <mergeCell ref="H24:K25"/>
    <mergeCell ref="C11:D11"/>
    <mergeCell ref="D12:D13"/>
    <mergeCell ref="E16:G17"/>
    <mergeCell ref="G18:G19"/>
    <mergeCell ref="C14:F15"/>
  </mergeCells>
  <conditionalFormatting sqref="B34:J44">
    <cfRule type="expression" priority="1" dxfId="0" stopIfTrue="1">
      <formula>(EVEN(ROW())=ROW())</formula>
    </cfRule>
  </conditionalFormatting>
  <conditionalFormatting sqref="E20:G26 B14:B24 C16:D24">
    <cfRule type="expression" priority="2" dxfId="0" stopIfTrue="1">
      <formula>(ODD(ROW())=ROW())</formula>
    </cfRule>
  </conditionalFormatting>
  <hyperlinks>
    <hyperlink ref="B2" location="Intro!A1" display="RETOUR"/>
  </hyperlinks>
  <printOptions horizontalCentered="1" verticalCentered="1"/>
  <pageMargins left="0.3937007874015748" right="0.3937007874015748" top="0.3937007874015748" bottom="0.3937007874015748" header="0" footer="0"/>
  <pageSetup fitToHeight="1" fitToWidth="1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showGridLines="0" zoomScale="87" zoomScaleNormal="87" zoomScalePageLayoutView="0" workbookViewId="0" topLeftCell="A1">
      <selection activeCell="H16" sqref="H16"/>
    </sheetView>
  </sheetViews>
  <sheetFormatPr defaultColWidth="11.19921875" defaultRowHeight="15"/>
  <cols>
    <col min="1" max="1" width="6.09765625" style="3" customWidth="1"/>
    <col min="2" max="3" width="16.69921875" style="3" customWidth="1"/>
    <col min="4" max="4" width="11" style="4" customWidth="1"/>
    <col min="5" max="6" width="16.69921875" style="3" customWidth="1"/>
    <col min="7" max="7" width="11" style="3" customWidth="1"/>
    <col min="8" max="9" width="16.69921875" style="3" customWidth="1"/>
    <col min="10" max="16384" width="11" style="3" customWidth="1"/>
  </cols>
  <sheetData>
    <row r="1" spans="2:9" ht="23.25">
      <c r="B1" s="241" t="s">
        <v>48</v>
      </c>
      <c r="C1" s="241"/>
      <c r="D1" s="241"/>
      <c r="E1" s="241"/>
      <c r="F1" s="241"/>
      <c r="G1" s="241"/>
      <c r="H1" s="241"/>
      <c r="I1" s="241"/>
    </row>
    <row r="2" ht="24" thickBot="1"/>
    <row r="3" spans="2:9" s="2" customFormat="1" ht="23.25" thickBot="1">
      <c r="B3" s="245" t="s">
        <v>34</v>
      </c>
      <c r="C3" s="246"/>
      <c r="D3" s="1"/>
      <c r="E3" s="245" t="s">
        <v>35</v>
      </c>
      <c r="F3" s="246"/>
      <c r="H3" s="245" t="s">
        <v>36</v>
      </c>
      <c r="I3" s="246"/>
    </row>
    <row r="4" spans="2:9" s="5" customFormat="1" ht="23.25">
      <c r="B4" s="10" t="s">
        <v>13</v>
      </c>
      <c r="C4" s="11" t="s">
        <v>14</v>
      </c>
      <c r="D4" s="6"/>
      <c r="E4" s="10" t="s">
        <v>13</v>
      </c>
      <c r="F4" s="11" t="s">
        <v>14</v>
      </c>
      <c r="H4" s="10" t="s">
        <v>13</v>
      </c>
      <c r="I4" s="11" t="s">
        <v>14</v>
      </c>
    </row>
    <row r="5" spans="2:9" ht="23.25">
      <c r="B5" s="7">
        <v>1</v>
      </c>
      <c r="C5" s="8">
        <v>341</v>
      </c>
      <c r="E5" s="7">
        <v>1</v>
      </c>
      <c r="F5" s="8">
        <v>349</v>
      </c>
      <c r="H5" s="7">
        <v>1</v>
      </c>
      <c r="I5" s="8">
        <v>495</v>
      </c>
    </row>
    <row r="6" spans="2:9" ht="23.25">
      <c r="B6" s="7">
        <v>2</v>
      </c>
      <c r="C6" s="8">
        <v>357</v>
      </c>
      <c r="E6" s="7">
        <v>2</v>
      </c>
      <c r="F6" s="8">
        <v>376</v>
      </c>
      <c r="H6" s="7">
        <v>2</v>
      </c>
      <c r="I6" s="8">
        <v>560</v>
      </c>
    </row>
    <row r="7" spans="2:9" ht="23.25">
      <c r="B7" s="7">
        <v>3</v>
      </c>
      <c r="C7" s="8">
        <v>366</v>
      </c>
      <c r="E7" s="7">
        <v>3</v>
      </c>
      <c r="F7" s="13">
        <v>432</v>
      </c>
      <c r="H7" s="7">
        <v>3</v>
      </c>
      <c r="I7" s="8">
        <v>601</v>
      </c>
    </row>
    <row r="8" spans="2:9" ht="23.25">
      <c r="B8" s="7">
        <v>4</v>
      </c>
      <c r="C8" s="8">
        <v>373</v>
      </c>
      <c r="E8" s="7">
        <v>4</v>
      </c>
      <c r="F8" s="13">
        <v>445</v>
      </c>
      <c r="H8" s="7">
        <v>4</v>
      </c>
      <c r="I8" s="8">
        <v>642</v>
      </c>
    </row>
    <row r="9" spans="2:9" ht="23.25">
      <c r="B9" s="7">
        <v>5</v>
      </c>
      <c r="C9" s="8">
        <v>383</v>
      </c>
      <c r="E9" s="7">
        <v>5</v>
      </c>
      <c r="F9" s="13">
        <v>458</v>
      </c>
      <c r="H9" s="7">
        <v>5</v>
      </c>
      <c r="I9" s="8">
        <v>695</v>
      </c>
    </row>
    <row r="10" spans="2:9" ht="23.25">
      <c r="B10" s="7">
        <v>6</v>
      </c>
      <c r="C10" s="8">
        <v>390</v>
      </c>
      <c r="E10" s="7">
        <v>6</v>
      </c>
      <c r="F10" s="8">
        <v>467</v>
      </c>
      <c r="H10" s="7">
        <v>6</v>
      </c>
      <c r="I10" s="8">
        <v>741</v>
      </c>
    </row>
    <row r="11" spans="2:9" ht="23.25">
      <c r="B11" s="7">
        <v>7</v>
      </c>
      <c r="C11" s="8">
        <v>399</v>
      </c>
      <c r="E11" s="7">
        <v>7</v>
      </c>
      <c r="F11" s="8">
        <v>495</v>
      </c>
      <c r="H11" s="7">
        <v>7</v>
      </c>
      <c r="I11" s="8">
        <v>783</v>
      </c>
    </row>
    <row r="12" spans="2:6" ht="23.25">
      <c r="B12" s="7">
        <v>8</v>
      </c>
      <c r="C12" s="8">
        <v>420</v>
      </c>
      <c r="E12" s="7">
        <v>8</v>
      </c>
      <c r="F12" s="8">
        <v>531</v>
      </c>
    </row>
    <row r="13" spans="2:6" ht="23.25">
      <c r="B13" s="7">
        <v>9</v>
      </c>
      <c r="C13" s="8">
        <v>441</v>
      </c>
      <c r="E13" s="7">
        <v>9</v>
      </c>
      <c r="F13" s="8">
        <v>567</v>
      </c>
    </row>
    <row r="14" spans="2:6" ht="23.25">
      <c r="B14" s="7">
        <v>10</v>
      </c>
      <c r="C14" s="8">
        <v>469</v>
      </c>
      <c r="E14" s="7">
        <v>10</v>
      </c>
      <c r="F14" s="8">
        <v>612</v>
      </c>
    </row>
    <row r="15" spans="2:6" ht="24" thickBot="1">
      <c r="B15" s="9">
        <v>11</v>
      </c>
      <c r="C15" s="12">
        <v>515</v>
      </c>
      <c r="E15" s="9">
        <v>11</v>
      </c>
      <c r="F15" s="12">
        <v>658</v>
      </c>
    </row>
    <row r="17" spans="2:9" ht="23.25">
      <c r="B17" s="242" t="s">
        <v>51</v>
      </c>
      <c r="C17" s="242"/>
      <c r="D17" s="242"/>
      <c r="E17" s="242"/>
      <c r="F17" s="242"/>
      <c r="G17" s="242"/>
      <c r="H17" s="242"/>
      <c r="I17" s="242"/>
    </row>
    <row r="18" spans="2:9" ht="24" thickBot="1">
      <c r="B18" s="14"/>
      <c r="C18" s="14"/>
      <c r="D18" s="15"/>
      <c r="E18" s="14"/>
      <c r="F18" s="14"/>
      <c r="G18" s="14"/>
      <c r="H18" s="14"/>
      <c r="I18" s="14"/>
    </row>
    <row r="19" spans="2:9" s="2" customFormat="1" ht="24" thickBot="1">
      <c r="B19" s="243" t="s">
        <v>34</v>
      </c>
      <c r="C19" s="244"/>
      <c r="D19" s="126"/>
      <c r="E19" s="243" t="s">
        <v>35</v>
      </c>
      <c r="F19" s="244"/>
      <c r="G19" s="127"/>
      <c r="H19" s="243" t="s">
        <v>36</v>
      </c>
      <c r="I19" s="244"/>
    </row>
    <row r="20" spans="2:9" s="5" customFormat="1" ht="23.25">
      <c r="B20" s="16" t="s">
        <v>13</v>
      </c>
      <c r="C20" s="17" t="s">
        <v>14</v>
      </c>
      <c r="D20" s="128"/>
      <c r="E20" s="16" t="s">
        <v>13</v>
      </c>
      <c r="F20" s="17" t="s">
        <v>14</v>
      </c>
      <c r="G20" s="129"/>
      <c r="H20" s="16" t="s">
        <v>13</v>
      </c>
      <c r="I20" s="17" t="s">
        <v>14</v>
      </c>
    </row>
    <row r="21" spans="2:9" ht="23.25">
      <c r="B21" s="18">
        <v>1</v>
      </c>
      <c r="C21" s="19">
        <v>341</v>
      </c>
      <c r="D21" s="15"/>
      <c r="E21" s="18">
        <v>1</v>
      </c>
      <c r="F21" s="19">
        <v>349</v>
      </c>
      <c r="G21" s="14"/>
      <c r="H21" s="18">
        <v>1</v>
      </c>
      <c r="I21" s="19">
        <v>495</v>
      </c>
    </row>
    <row r="22" spans="2:9" ht="23.25">
      <c r="B22" s="18">
        <v>2</v>
      </c>
      <c r="C22" s="19">
        <v>357</v>
      </c>
      <c r="D22" s="15"/>
      <c r="E22" s="18">
        <v>2</v>
      </c>
      <c r="F22" s="19">
        <v>376</v>
      </c>
      <c r="G22" s="14"/>
      <c r="H22" s="18">
        <v>2</v>
      </c>
      <c r="I22" s="19">
        <v>560</v>
      </c>
    </row>
    <row r="23" spans="2:9" ht="23.25">
      <c r="B23" s="18">
        <v>3</v>
      </c>
      <c r="C23" s="19">
        <v>366</v>
      </c>
      <c r="D23" s="15"/>
      <c r="E23" s="18">
        <v>3</v>
      </c>
      <c r="F23" s="130">
        <v>410</v>
      </c>
      <c r="G23" s="14"/>
      <c r="H23" s="18">
        <v>3</v>
      </c>
      <c r="I23" s="19">
        <v>601</v>
      </c>
    </row>
    <row r="24" spans="2:9" ht="23.25">
      <c r="B24" s="18">
        <v>4</v>
      </c>
      <c r="C24" s="19">
        <v>373</v>
      </c>
      <c r="D24" s="15"/>
      <c r="E24" s="18">
        <v>4</v>
      </c>
      <c r="F24" s="130">
        <v>431</v>
      </c>
      <c r="G24" s="14"/>
      <c r="H24" s="18">
        <v>4</v>
      </c>
      <c r="I24" s="19">
        <v>642</v>
      </c>
    </row>
    <row r="25" spans="2:9" ht="23.25">
      <c r="B25" s="18">
        <v>5</v>
      </c>
      <c r="C25" s="19">
        <v>383</v>
      </c>
      <c r="D25" s="15"/>
      <c r="E25" s="18">
        <v>5</v>
      </c>
      <c r="F25" s="130">
        <v>453</v>
      </c>
      <c r="G25" s="14"/>
      <c r="H25" s="18">
        <v>5</v>
      </c>
      <c r="I25" s="19">
        <v>695</v>
      </c>
    </row>
    <row r="26" spans="2:9" ht="23.25">
      <c r="B26" s="18">
        <v>6</v>
      </c>
      <c r="C26" s="19">
        <v>390</v>
      </c>
      <c r="D26" s="15"/>
      <c r="E26" s="18">
        <v>6</v>
      </c>
      <c r="F26" s="19">
        <v>467</v>
      </c>
      <c r="G26" s="14"/>
      <c r="H26" s="18">
        <v>6</v>
      </c>
      <c r="I26" s="19">
        <v>741</v>
      </c>
    </row>
    <row r="27" spans="2:9" ht="23.25">
      <c r="B27" s="18">
        <v>7</v>
      </c>
      <c r="C27" s="19">
        <v>399</v>
      </c>
      <c r="D27" s="15"/>
      <c r="E27" s="18">
        <v>7</v>
      </c>
      <c r="F27" s="19">
        <v>495</v>
      </c>
      <c r="G27" s="14"/>
      <c r="H27" s="18">
        <v>7</v>
      </c>
      <c r="I27" s="19">
        <v>783</v>
      </c>
    </row>
    <row r="28" spans="2:9" ht="23.25">
      <c r="B28" s="18">
        <v>8</v>
      </c>
      <c r="C28" s="19">
        <v>420</v>
      </c>
      <c r="D28" s="15"/>
      <c r="E28" s="18">
        <v>8</v>
      </c>
      <c r="F28" s="19">
        <v>531</v>
      </c>
      <c r="G28" s="14"/>
      <c r="H28" s="14"/>
      <c r="I28" s="14"/>
    </row>
    <row r="29" spans="2:9" ht="23.25">
      <c r="B29" s="18">
        <v>9</v>
      </c>
      <c r="C29" s="19">
        <v>441</v>
      </c>
      <c r="D29" s="15"/>
      <c r="E29" s="18">
        <v>9</v>
      </c>
      <c r="F29" s="19">
        <v>567</v>
      </c>
      <c r="G29" s="14"/>
      <c r="H29" s="14"/>
      <c r="I29" s="14"/>
    </row>
    <row r="30" spans="2:9" ht="23.25">
      <c r="B30" s="18">
        <v>10</v>
      </c>
      <c r="C30" s="19">
        <v>469</v>
      </c>
      <c r="D30" s="15"/>
      <c r="E30" s="18">
        <v>10</v>
      </c>
      <c r="F30" s="19">
        <v>612</v>
      </c>
      <c r="G30" s="14"/>
      <c r="H30" s="14"/>
      <c r="I30" s="14"/>
    </row>
    <row r="31" spans="2:9" ht="24" thickBot="1">
      <c r="B31" s="20">
        <v>11</v>
      </c>
      <c r="C31" s="21">
        <v>515</v>
      </c>
      <c r="D31" s="15"/>
      <c r="E31" s="20">
        <v>11</v>
      </c>
      <c r="F31" s="21">
        <v>658</v>
      </c>
      <c r="G31" s="14"/>
      <c r="H31" s="14"/>
      <c r="I31" s="14"/>
    </row>
    <row r="33" spans="2:9" ht="23.25">
      <c r="B33" s="242" t="s">
        <v>52</v>
      </c>
      <c r="C33" s="242"/>
      <c r="D33" s="242"/>
      <c r="E33" s="242"/>
      <c r="F33" s="242"/>
      <c r="G33" s="242"/>
      <c r="H33" s="242"/>
      <c r="I33" s="242"/>
    </row>
    <row r="34" spans="2:9" ht="24" thickBot="1">
      <c r="B34" s="14"/>
      <c r="C34" s="14"/>
      <c r="D34" s="15"/>
      <c r="E34" s="14"/>
      <c r="F34" s="14"/>
      <c r="G34" s="14"/>
      <c r="H34" s="14"/>
      <c r="I34" s="14"/>
    </row>
    <row r="35" spans="2:9" ht="24" thickBot="1">
      <c r="B35" s="14"/>
      <c r="C35" s="14"/>
      <c r="D35" s="15"/>
      <c r="E35" s="243" t="s">
        <v>35</v>
      </c>
      <c r="F35" s="244"/>
      <c r="G35" s="14"/>
      <c r="H35" s="14"/>
      <c r="I35" s="14"/>
    </row>
    <row r="36" spans="2:9" ht="23.25">
      <c r="B36" s="14"/>
      <c r="C36" s="14"/>
      <c r="D36" s="15"/>
      <c r="E36" s="16" t="s">
        <v>13</v>
      </c>
      <c r="F36" s="17" t="s">
        <v>14</v>
      </c>
      <c r="G36" s="14"/>
      <c r="H36" s="14"/>
      <c r="I36" s="14"/>
    </row>
    <row r="37" spans="2:9" ht="23.25">
      <c r="B37" s="14"/>
      <c r="C37" s="14"/>
      <c r="D37" s="15"/>
      <c r="E37" s="18">
        <v>1</v>
      </c>
      <c r="F37" s="19">
        <v>349</v>
      </c>
      <c r="G37" s="14"/>
      <c r="H37" s="14"/>
      <c r="I37" s="14"/>
    </row>
    <row r="38" spans="2:9" ht="23.25">
      <c r="B38" s="14"/>
      <c r="C38" s="14"/>
      <c r="D38" s="15"/>
      <c r="E38" s="18">
        <v>2</v>
      </c>
      <c r="F38" s="19">
        <v>376</v>
      </c>
      <c r="G38" s="14"/>
      <c r="H38" s="14"/>
      <c r="I38" s="14"/>
    </row>
    <row r="39" spans="2:9" ht="23.25">
      <c r="B39" s="14"/>
      <c r="C39" s="14"/>
      <c r="D39" s="15"/>
      <c r="E39" s="18">
        <v>3</v>
      </c>
      <c r="F39" s="19">
        <v>395</v>
      </c>
      <c r="G39" s="14"/>
      <c r="H39" s="14"/>
      <c r="I39" s="14"/>
    </row>
    <row r="40" spans="2:9" ht="23.25">
      <c r="B40" s="14"/>
      <c r="C40" s="14"/>
      <c r="D40" s="15"/>
      <c r="E40" s="18">
        <v>4</v>
      </c>
      <c r="F40" s="19">
        <v>416</v>
      </c>
      <c r="G40" s="14"/>
      <c r="H40" s="14"/>
      <c r="I40" s="14"/>
    </row>
    <row r="41" spans="2:9" ht="23.25">
      <c r="B41" s="14"/>
      <c r="C41" s="14"/>
      <c r="D41" s="15"/>
      <c r="E41" s="18">
        <v>5</v>
      </c>
      <c r="F41" s="19">
        <v>439</v>
      </c>
      <c r="G41" s="14"/>
      <c r="H41" s="14"/>
      <c r="I41" s="14"/>
    </row>
    <row r="42" spans="2:9" ht="23.25">
      <c r="B42" s="14"/>
      <c r="C42" s="14"/>
      <c r="D42" s="15"/>
      <c r="E42" s="18">
        <v>6</v>
      </c>
      <c r="F42" s="19">
        <v>467</v>
      </c>
      <c r="G42" s="14"/>
      <c r="H42" s="14"/>
      <c r="I42" s="14"/>
    </row>
    <row r="43" spans="2:9" ht="23.25">
      <c r="B43" s="14"/>
      <c r="C43" s="14"/>
      <c r="D43" s="15"/>
      <c r="E43" s="18">
        <v>7</v>
      </c>
      <c r="F43" s="19">
        <v>495</v>
      </c>
      <c r="G43" s="14"/>
      <c r="H43" s="14"/>
      <c r="I43" s="14"/>
    </row>
    <row r="44" spans="2:9" ht="23.25">
      <c r="B44" s="14"/>
      <c r="C44" s="14"/>
      <c r="D44" s="15"/>
      <c r="E44" s="18">
        <v>8</v>
      </c>
      <c r="F44" s="19">
        <v>531</v>
      </c>
      <c r="G44" s="14"/>
      <c r="H44" s="14"/>
      <c r="I44" s="14"/>
    </row>
    <row r="45" spans="2:9" ht="23.25">
      <c r="B45" s="14"/>
      <c r="C45" s="14"/>
      <c r="D45" s="15"/>
      <c r="E45" s="18">
        <v>9</v>
      </c>
      <c r="F45" s="19">
        <v>567</v>
      </c>
      <c r="G45" s="14"/>
      <c r="H45" s="14"/>
      <c r="I45" s="14"/>
    </row>
    <row r="46" spans="2:9" ht="23.25">
      <c r="B46" s="14"/>
      <c r="C46" s="14"/>
      <c r="D46" s="15"/>
      <c r="E46" s="18">
        <v>10</v>
      </c>
      <c r="F46" s="19">
        <v>612</v>
      </c>
      <c r="G46" s="14"/>
      <c r="H46" s="14"/>
      <c r="I46" s="14"/>
    </row>
    <row r="47" spans="2:9" ht="24" thickBot="1">
      <c r="B47" s="14"/>
      <c r="C47" s="14"/>
      <c r="D47" s="15"/>
      <c r="E47" s="20">
        <v>11</v>
      </c>
      <c r="F47" s="21">
        <v>658</v>
      </c>
      <c r="G47" s="14"/>
      <c r="H47" s="14"/>
      <c r="I47" s="14"/>
    </row>
  </sheetData>
  <sheetProtection sheet="1"/>
  <mergeCells count="10">
    <mergeCell ref="B1:I1"/>
    <mergeCell ref="B33:I33"/>
    <mergeCell ref="E35:F35"/>
    <mergeCell ref="B3:C3"/>
    <mergeCell ref="E3:F3"/>
    <mergeCell ref="H3:I3"/>
    <mergeCell ref="B17:I17"/>
    <mergeCell ref="B19:C19"/>
    <mergeCell ref="E19:F19"/>
    <mergeCell ref="H19:I19"/>
  </mergeCells>
  <conditionalFormatting sqref="B3:C15 E35:F47 H3:I11 E3:F15">
    <cfRule type="expression" priority="2" dxfId="15" stopIfTrue="1">
      <formula>(EVEN(ROW())=ROW())</formula>
    </cfRule>
  </conditionalFormatting>
  <conditionalFormatting sqref="B19:C31 H19:I27 E19:F31">
    <cfRule type="expression" priority="1" dxfId="15" stopIfTrue="1">
      <formula>(EVEN(ROW())=ROW())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62"/>
  <sheetViews>
    <sheetView showGridLines="0" zoomScale="81" zoomScaleNormal="81" zoomScalePageLayoutView="0" workbookViewId="0" topLeftCell="A45">
      <selection activeCell="H36" sqref="H36"/>
    </sheetView>
  </sheetViews>
  <sheetFormatPr defaultColWidth="11.19921875" defaultRowHeight="15"/>
  <cols>
    <col min="1" max="1" width="8.19921875" style="140" customWidth="1"/>
    <col min="2" max="2" width="19.3984375" style="138" customWidth="1"/>
    <col min="3" max="4" width="17.19921875" style="139" customWidth="1"/>
    <col min="5" max="16384" width="11" style="140" customWidth="1"/>
  </cols>
  <sheetData>
    <row r="1" ht="10.5" customHeight="1"/>
    <row r="2" spans="2:4" ht="18" customHeight="1">
      <c r="B2" s="247" t="s">
        <v>60</v>
      </c>
      <c r="C2" s="247"/>
      <c r="D2" s="141"/>
    </row>
    <row r="3" spans="2:4" ht="18">
      <c r="B3" s="247"/>
      <c r="C3" s="247"/>
      <c r="D3" s="141"/>
    </row>
    <row r="4" ht="18.75" thickBot="1"/>
    <row r="5" spans="2:4" s="144" customFormat="1" ht="21" customHeight="1" thickBot="1">
      <c r="B5" s="142" t="s">
        <v>61</v>
      </c>
      <c r="C5" s="143" t="s">
        <v>62</v>
      </c>
      <c r="D5" s="143" t="s">
        <v>64</v>
      </c>
    </row>
    <row r="6" spans="2:4" s="144" customFormat="1" ht="21" customHeight="1">
      <c r="B6" s="145">
        <v>1995</v>
      </c>
      <c r="C6" s="146">
        <v>0.0785</v>
      </c>
      <c r="D6" s="152">
        <v>33238</v>
      </c>
    </row>
    <row r="7" spans="2:4" ht="21" customHeight="1">
      <c r="B7" s="147">
        <v>1996</v>
      </c>
      <c r="C7" s="148">
        <v>0.0785</v>
      </c>
      <c r="D7" s="153">
        <v>33603</v>
      </c>
    </row>
    <row r="8" spans="2:4" ht="21" customHeight="1">
      <c r="B8" s="147">
        <v>1997</v>
      </c>
      <c r="C8" s="148">
        <v>0.0785</v>
      </c>
      <c r="D8" s="153">
        <v>33969</v>
      </c>
    </row>
    <row r="9" spans="2:4" ht="21" customHeight="1">
      <c r="B9" s="147">
        <v>1998</v>
      </c>
      <c r="C9" s="148">
        <v>0.0785</v>
      </c>
      <c r="D9" s="153">
        <v>34334</v>
      </c>
    </row>
    <row r="10" spans="2:4" ht="21" customHeight="1">
      <c r="B10" s="147">
        <v>1999</v>
      </c>
      <c r="C10" s="148">
        <v>0.0785</v>
      </c>
      <c r="D10" s="153">
        <v>34699</v>
      </c>
    </row>
    <row r="11" spans="2:4" ht="21" customHeight="1">
      <c r="B11" s="147">
        <v>2000</v>
      </c>
      <c r="C11" s="148">
        <v>0.0785</v>
      </c>
      <c r="D11" s="153">
        <v>35064</v>
      </c>
    </row>
    <row r="12" spans="2:4" ht="21" customHeight="1">
      <c r="B12" s="147">
        <v>2001</v>
      </c>
      <c r="C12" s="148">
        <v>0.0785</v>
      </c>
      <c r="D12" s="153">
        <v>35430</v>
      </c>
    </row>
    <row r="13" spans="2:4" ht="21" customHeight="1">
      <c r="B13" s="147">
        <v>2002</v>
      </c>
      <c r="C13" s="148">
        <v>0.0785</v>
      </c>
      <c r="D13" s="153">
        <v>35795</v>
      </c>
    </row>
    <row r="14" spans="2:4" ht="21" customHeight="1">
      <c r="B14" s="147">
        <v>2003</v>
      </c>
      <c r="C14" s="148">
        <v>0.0785</v>
      </c>
      <c r="D14" s="153">
        <v>36160</v>
      </c>
    </row>
    <row r="15" spans="2:4" ht="21" customHeight="1">
      <c r="B15" s="147">
        <v>2004</v>
      </c>
      <c r="C15" s="148">
        <v>0.0785</v>
      </c>
      <c r="D15" s="153">
        <v>36525</v>
      </c>
    </row>
    <row r="16" spans="2:4" ht="21" customHeight="1">
      <c r="B16" s="147">
        <v>2005</v>
      </c>
      <c r="C16" s="148">
        <v>0.0785</v>
      </c>
      <c r="D16" s="153">
        <v>36891</v>
      </c>
    </row>
    <row r="17" spans="2:4" ht="21" customHeight="1">
      <c r="B17" s="147">
        <v>2006</v>
      </c>
      <c r="C17" s="148">
        <v>0.0785</v>
      </c>
      <c r="D17" s="153">
        <v>37256</v>
      </c>
    </row>
    <row r="18" spans="2:4" ht="21" customHeight="1">
      <c r="B18" s="147">
        <v>2007</v>
      </c>
      <c r="C18" s="148">
        <v>0.0785</v>
      </c>
      <c r="D18" s="153">
        <v>37621</v>
      </c>
    </row>
    <row r="19" spans="2:4" ht="21" customHeight="1">
      <c r="B19" s="147">
        <v>2008</v>
      </c>
      <c r="C19" s="148">
        <v>0.0785</v>
      </c>
      <c r="D19" s="153">
        <v>37986</v>
      </c>
    </row>
    <row r="20" spans="2:4" ht="21" customHeight="1">
      <c r="B20" s="147">
        <v>2009</v>
      </c>
      <c r="C20" s="148">
        <v>0.0785</v>
      </c>
      <c r="D20" s="153">
        <v>38352</v>
      </c>
    </row>
    <row r="21" spans="2:4" ht="21" customHeight="1">
      <c r="B21" s="147">
        <v>2010</v>
      </c>
      <c r="C21" s="148">
        <v>0.0785</v>
      </c>
      <c r="D21" s="153">
        <v>38717</v>
      </c>
    </row>
    <row r="22" spans="2:4" ht="21" customHeight="1">
      <c r="B22" s="147">
        <v>2011</v>
      </c>
      <c r="C22" s="148">
        <v>0.0785</v>
      </c>
      <c r="D22" s="153">
        <v>39082</v>
      </c>
    </row>
    <row r="23" spans="2:5" ht="21" customHeight="1">
      <c r="B23" s="147">
        <v>2012</v>
      </c>
      <c r="C23" s="148">
        <v>0.0839</v>
      </c>
      <c r="D23" s="153">
        <v>39447</v>
      </c>
      <c r="E23" s="149" t="s">
        <v>63</v>
      </c>
    </row>
    <row r="24" spans="2:4" ht="21" customHeight="1">
      <c r="B24" s="147">
        <v>2013</v>
      </c>
      <c r="C24" s="148">
        <v>0.0876</v>
      </c>
      <c r="D24" s="153">
        <v>39813</v>
      </c>
    </row>
    <row r="25" spans="2:4" ht="21" customHeight="1">
      <c r="B25" s="147">
        <v>2014</v>
      </c>
      <c r="C25" s="148">
        <v>0.0914</v>
      </c>
      <c r="D25" s="153">
        <v>40178</v>
      </c>
    </row>
    <row r="26" spans="2:4" ht="21" customHeight="1">
      <c r="B26" s="147">
        <v>2015</v>
      </c>
      <c r="C26" s="148">
        <v>0.0954</v>
      </c>
      <c r="D26" s="153">
        <v>40543</v>
      </c>
    </row>
    <row r="27" spans="2:4" ht="21" customHeight="1">
      <c r="B27" s="147">
        <v>2016</v>
      </c>
      <c r="C27" s="148">
        <v>0.0994</v>
      </c>
      <c r="D27" s="153">
        <v>40908</v>
      </c>
    </row>
    <row r="28" spans="2:4" ht="21" customHeight="1">
      <c r="B28" s="147">
        <v>2017</v>
      </c>
      <c r="C28" s="148">
        <v>0.1029</v>
      </c>
      <c r="D28" s="153">
        <v>41274</v>
      </c>
    </row>
    <row r="29" spans="2:4" ht="21" customHeight="1">
      <c r="B29" s="147">
        <v>2018</v>
      </c>
      <c r="C29" s="148">
        <v>0.1056</v>
      </c>
      <c r="D29" s="153">
        <v>41639</v>
      </c>
    </row>
    <row r="30" spans="2:4" ht="21" customHeight="1">
      <c r="B30" s="147">
        <v>2019</v>
      </c>
      <c r="C30" s="148">
        <v>0.1083</v>
      </c>
      <c r="D30" s="153">
        <v>42004</v>
      </c>
    </row>
    <row r="31" spans="2:4" ht="21" customHeight="1">
      <c r="B31" s="147">
        <v>2020</v>
      </c>
      <c r="C31" s="148">
        <v>0.111</v>
      </c>
      <c r="D31" s="153">
        <v>42369</v>
      </c>
    </row>
    <row r="32" spans="2:4" ht="21" customHeight="1">
      <c r="B32" s="147">
        <v>2021</v>
      </c>
      <c r="C32" s="148">
        <f>C31</f>
        <v>0.111</v>
      </c>
      <c r="D32" s="153">
        <v>42735</v>
      </c>
    </row>
    <row r="33" spans="2:4" ht="21" customHeight="1">
      <c r="B33" s="147">
        <v>2022</v>
      </c>
      <c r="C33" s="148">
        <f aca="true" t="shared" si="0" ref="C33:C62">C32</f>
        <v>0.111</v>
      </c>
      <c r="D33" s="153">
        <v>43100</v>
      </c>
    </row>
    <row r="34" spans="2:4" ht="21" customHeight="1">
      <c r="B34" s="147">
        <v>2023</v>
      </c>
      <c r="C34" s="148">
        <f t="shared" si="0"/>
        <v>0.111</v>
      </c>
      <c r="D34" s="153">
        <v>43465</v>
      </c>
    </row>
    <row r="35" spans="2:4" ht="21" customHeight="1">
      <c r="B35" s="147">
        <v>2024</v>
      </c>
      <c r="C35" s="148">
        <f t="shared" si="0"/>
        <v>0.111</v>
      </c>
      <c r="D35" s="153">
        <v>43830</v>
      </c>
    </row>
    <row r="36" spans="2:4" ht="21" customHeight="1">
      <c r="B36" s="147">
        <v>2025</v>
      </c>
      <c r="C36" s="148">
        <f t="shared" si="0"/>
        <v>0.111</v>
      </c>
      <c r="D36" s="153">
        <v>44196</v>
      </c>
    </row>
    <row r="37" spans="2:4" ht="21" customHeight="1">
      <c r="B37" s="147">
        <v>2026</v>
      </c>
      <c r="C37" s="148">
        <f t="shared" si="0"/>
        <v>0.111</v>
      </c>
      <c r="D37" s="153">
        <v>44561</v>
      </c>
    </row>
    <row r="38" spans="2:4" ht="21" customHeight="1">
      <c r="B38" s="147">
        <v>2027</v>
      </c>
      <c r="C38" s="148">
        <f t="shared" si="0"/>
        <v>0.111</v>
      </c>
      <c r="D38" s="153">
        <v>44926</v>
      </c>
    </row>
    <row r="39" spans="2:4" ht="21" customHeight="1">
      <c r="B39" s="147">
        <v>2028</v>
      </c>
      <c r="C39" s="148">
        <f t="shared" si="0"/>
        <v>0.111</v>
      </c>
      <c r="D39" s="153">
        <v>45291</v>
      </c>
    </row>
    <row r="40" spans="2:4" ht="21" customHeight="1">
      <c r="B40" s="147">
        <v>2029</v>
      </c>
      <c r="C40" s="148">
        <f t="shared" si="0"/>
        <v>0.111</v>
      </c>
      <c r="D40" s="153">
        <v>45657</v>
      </c>
    </row>
    <row r="41" spans="2:4" ht="21" customHeight="1">
      <c r="B41" s="147">
        <v>2030</v>
      </c>
      <c r="C41" s="148">
        <f t="shared" si="0"/>
        <v>0.111</v>
      </c>
      <c r="D41" s="153">
        <v>46022</v>
      </c>
    </row>
    <row r="42" spans="2:4" ht="21" customHeight="1">
      <c r="B42" s="147">
        <v>2031</v>
      </c>
      <c r="C42" s="148">
        <f t="shared" si="0"/>
        <v>0.111</v>
      </c>
      <c r="D42" s="153">
        <v>46387</v>
      </c>
    </row>
    <row r="43" spans="2:4" ht="21" customHeight="1">
      <c r="B43" s="147">
        <v>2032</v>
      </c>
      <c r="C43" s="148">
        <f t="shared" si="0"/>
        <v>0.111</v>
      </c>
      <c r="D43" s="153">
        <v>46752</v>
      </c>
    </row>
    <row r="44" spans="2:4" ht="21" customHeight="1">
      <c r="B44" s="147">
        <v>2033</v>
      </c>
      <c r="C44" s="148">
        <f t="shared" si="0"/>
        <v>0.111</v>
      </c>
      <c r="D44" s="153">
        <v>47118</v>
      </c>
    </row>
    <row r="45" spans="2:4" ht="21" customHeight="1">
      <c r="B45" s="147">
        <v>2034</v>
      </c>
      <c r="C45" s="148">
        <f t="shared" si="0"/>
        <v>0.111</v>
      </c>
      <c r="D45" s="153">
        <v>47483</v>
      </c>
    </row>
    <row r="46" spans="2:4" ht="21" customHeight="1">
      <c r="B46" s="147">
        <v>2035</v>
      </c>
      <c r="C46" s="148">
        <f t="shared" si="0"/>
        <v>0.111</v>
      </c>
      <c r="D46" s="153">
        <v>47848</v>
      </c>
    </row>
    <row r="47" spans="2:4" ht="21" customHeight="1">
      <c r="B47" s="147">
        <v>2036</v>
      </c>
      <c r="C47" s="148">
        <f t="shared" si="0"/>
        <v>0.111</v>
      </c>
      <c r="D47" s="153">
        <v>48213</v>
      </c>
    </row>
    <row r="48" spans="2:4" ht="21" customHeight="1">
      <c r="B48" s="147">
        <v>2037</v>
      </c>
      <c r="C48" s="148">
        <f t="shared" si="0"/>
        <v>0.111</v>
      </c>
      <c r="D48" s="153">
        <v>48579</v>
      </c>
    </row>
    <row r="49" spans="2:4" ht="21" customHeight="1">
      <c r="B49" s="147">
        <v>2038</v>
      </c>
      <c r="C49" s="148">
        <f t="shared" si="0"/>
        <v>0.111</v>
      </c>
      <c r="D49" s="153">
        <v>48944</v>
      </c>
    </row>
    <row r="50" spans="2:4" ht="21" customHeight="1">
      <c r="B50" s="147">
        <v>2039</v>
      </c>
      <c r="C50" s="148">
        <f t="shared" si="0"/>
        <v>0.111</v>
      </c>
      <c r="D50" s="153">
        <v>49309</v>
      </c>
    </row>
    <row r="51" spans="2:4" ht="21" customHeight="1">
      <c r="B51" s="147">
        <v>2040</v>
      </c>
      <c r="C51" s="148">
        <f t="shared" si="0"/>
        <v>0.111</v>
      </c>
      <c r="D51" s="153">
        <v>49674</v>
      </c>
    </row>
    <row r="52" spans="2:4" ht="21" customHeight="1">
      <c r="B52" s="147">
        <v>2041</v>
      </c>
      <c r="C52" s="148">
        <f t="shared" si="0"/>
        <v>0.111</v>
      </c>
      <c r="D52" s="153">
        <v>50040</v>
      </c>
    </row>
    <row r="53" spans="2:4" ht="21" customHeight="1">
      <c r="B53" s="147">
        <v>2042</v>
      </c>
      <c r="C53" s="148">
        <f t="shared" si="0"/>
        <v>0.111</v>
      </c>
      <c r="D53" s="153">
        <v>50405</v>
      </c>
    </row>
    <row r="54" spans="2:4" ht="21" customHeight="1">
      <c r="B54" s="147">
        <v>2043</v>
      </c>
      <c r="C54" s="148">
        <f t="shared" si="0"/>
        <v>0.111</v>
      </c>
      <c r="D54" s="153">
        <v>50770</v>
      </c>
    </row>
    <row r="55" spans="2:4" ht="21" customHeight="1">
      <c r="B55" s="147">
        <v>2044</v>
      </c>
      <c r="C55" s="148">
        <f t="shared" si="0"/>
        <v>0.111</v>
      </c>
      <c r="D55" s="153">
        <v>51135</v>
      </c>
    </row>
    <row r="56" spans="2:4" ht="21" customHeight="1">
      <c r="B56" s="147">
        <v>2045</v>
      </c>
      <c r="C56" s="148">
        <f t="shared" si="0"/>
        <v>0.111</v>
      </c>
      <c r="D56" s="153">
        <v>51501</v>
      </c>
    </row>
    <row r="57" spans="2:4" ht="21" customHeight="1">
      <c r="B57" s="147">
        <v>2046</v>
      </c>
      <c r="C57" s="148">
        <f t="shared" si="0"/>
        <v>0.111</v>
      </c>
      <c r="D57" s="153">
        <v>51866</v>
      </c>
    </row>
    <row r="58" spans="2:4" ht="21" customHeight="1">
      <c r="B58" s="147">
        <v>2047</v>
      </c>
      <c r="C58" s="148">
        <f t="shared" si="0"/>
        <v>0.111</v>
      </c>
      <c r="D58" s="153">
        <v>52231</v>
      </c>
    </row>
    <row r="59" spans="2:4" ht="21" customHeight="1">
      <c r="B59" s="147">
        <v>2048</v>
      </c>
      <c r="C59" s="148">
        <f t="shared" si="0"/>
        <v>0.111</v>
      </c>
      <c r="D59" s="153">
        <v>52596</v>
      </c>
    </row>
    <row r="60" spans="2:4" ht="21" customHeight="1">
      <c r="B60" s="147">
        <v>2049</v>
      </c>
      <c r="C60" s="148">
        <f t="shared" si="0"/>
        <v>0.111</v>
      </c>
      <c r="D60" s="153">
        <v>52962</v>
      </c>
    </row>
    <row r="61" spans="2:4" ht="21" customHeight="1">
      <c r="B61" s="147">
        <v>2050</v>
      </c>
      <c r="C61" s="148">
        <f t="shared" si="0"/>
        <v>0.111</v>
      </c>
      <c r="D61" s="153">
        <v>53327</v>
      </c>
    </row>
    <row r="62" spans="2:4" ht="21" customHeight="1" thickBot="1">
      <c r="B62" s="150">
        <v>2051</v>
      </c>
      <c r="C62" s="151">
        <f t="shared" si="0"/>
        <v>0.111</v>
      </c>
      <c r="D62" s="154">
        <v>53692</v>
      </c>
    </row>
  </sheetData>
  <sheetProtection selectLockedCells="1"/>
  <mergeCells count="1">
    <mergeCell ref="B2:C3"/>
  </mergeCells>
  <conditionalFormatting sqref="B6:D62">
    <cfRule type="expression" priority="1" dxfId="0" stopIfTrue="1">
      <formula>(EVEN(ROW())=ROW())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3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2012-10-16T13:55:18Z</cp:lastPrinted>
  <dcterms:created xsi:type="dcterms:W3CDTF">2001-03-06T15:12:50Z</dcterms:created>
  <dcterms:modified xsi:type="dcterms:W3CDTF">2015-02-02T13:56:46Z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